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showInkAnnotation="0" codeName="ThisWorkbook"/>
  <mc:AlternateContent xmlns:mc="http://schemas.openxmlformats.org/markup-compatibility/2006">
    <mc:Choice Requires="x15">
      <x15ac:absPath xmlns:x15ac="http://schemas.microsoft.com/office/spreadsheetml/2010/11/ac" url="K:\SASD\22CAFR\Packages\SIG\"/>
    </mc:Choice>
  </mc:AlternateContent>
  <xr:revisionPtr revIDLastSave="0" documentId="13_ncr:1_{AF02D8AD-9628-422A-827E-338624257A15}" xr6:coauthVersionLast="47" xr6:coauthVersionMax="47" xr10:uidLastSave="{00000000-0000-0000-0000-000000000000}"/>
  <bookViews>
    <workbookView xWindow="-108" yWindow="-108" windowWidth="23256" windowHeight="12576" tabRatio="937" xr2:uid="{00000000-000D-0000-FFFF-FFFF00000000}"/>
  </bookViews>
  <sheets>
    <sheet name="Index" sheetId="29" r:id="rId1"/>
    <sheet name="Dashboard" sheetId="56" r:id="rId2"/>
    <sheet name="Pkg Updates" sheetId="51" r:id="rId3"/>
    <sheet name="GASB_Stmts" sheetId="23" r:id="rId4"/>
    <sheet name="FASB_Stmts" sheetId="1" r:id="rId5"/>
    <sheet name="FASB_Adj" sheetId="4" r:id="rId6"/>
    <sheet name="ACFR_Stmts" sheetId="3" r:id="rId7"/>
    <sheet name="Variances" sheetId="24" r:id="rId8"/>
    <sheet name="110" sheetId="45" r:id="rId9"/>
    <sheet name="115" sheetId="48" r:id="rId10"/>
    <sheet name="120" sheetId="49" r:id="rId11"/>
    <sheet name="323" sheetId="53" r:id="rId12"/>
    <sheet name="338" sheetId="46" r:id="rId13"/>
    <sheet name="345" sheetId="11" r:id="rId14"/>
    <sheet name="355" sheetId="12" r:id="rId15"/>
    <sheet name="375" sheetId="55" r:id="rId16"/>
    <sheet name="420" sheetId="43" r:id="rId17"/>
    <sheet name="430" sheetId="14" r:id="rId18"/>
    <sheet name="515" sheetId="15" r:id="rId19"/>
    <sheet name="520" sheetId="16" r:id="rId20"/>
    <sheet name="525" sheetId="17" r:id="rId21"/>
    <sheet name="530" sheetId="18" r:id="rId22"/>
    <sheet name="535" sheetId="19" r:id="rId23"/>
    <sheet name="602" sheetId="52" r:id="rId24"/>
    <sheet name="610" sheetId="20" r:id="rId25"/>
    <sheet name="615" sheetId="21" r:id="rId26"/>
    <sheet name="625" sheetId="34" r:id="rId27"/>
    <sheet name="Explanations" sheetId="25" r:id="rId28"/>
    <sheet name="Comments " sheetId="26" r:id="rId29"/>
    <sheet name="Agencies" sheetId="31" r:id="rId30"/>
    <sheet name="All Agencies" sheetId="38" r:id="rId31"/>
    <sheet name="PriorYrBal" sheetId="42" r:id="rId32"/>
    <sheet name="Data" sheetId="33" state="hidden" r:id="rId33"/>
  </sheets>
  <externalReferences>
    <externalReference r:id="rId34"/>
  </externalReferences>
  <definedNames>
    <definedName name="_115_Data">Data!$J:$Q</definedName>
    <definedName name="_115_Filter_Criteria">Data!$J$1:$Q$2</definedName>
    <definedName name="_Agy515">'515'!$D$6</definedName>
    <definedName name="_Agy520">'520'!$D$6</definedName>
    <definedName name="_Agy525">'525'!$D$6</definedName>
    <definedName name="_Agy530">'530'!$D$6</definedName>
    <definedName name="_Agy535">'535'!$D$5</definedName>
    <definedName name="_xlnm._FilterDatabase" localSheetId="9" hidden="1">'115'!$C$47:$L$114</definedName>
    <definedName name="_xlnm._FilterDatabase" localSheetId="22" hidden="1">'535'!$B$11:$H$15</definedName>
    <definedName name="_xlnm._FilterDatabase" localSheetId="32" hidden="1">Data!$J:$Q</definedName>
    <definedName name="_xlnm._FilterDatabase" localSheetId="3" hidden="1">GASB_Stmts!$A$1:$A$189</definedName>
    <definedName name="aFASB">FASB_Stmts!$A$12:$A$78</definedName>
    <definedName name="aFASBADJ">FASB_Adj!$A$13:$A$129</definedName>
    <definedName name="aGASB">GASB_Stmts!$A$13:$A$187</definedName>
    <definedName name="AgyIdx">Index!$D$10</definedName>
    <definedName name="AgyName">[1]Index!$E$11</definedName>
    <definedName name="AgyNum" localSheetId="29">Agencies!$C$6:$C$13</definedName>
    <definedName name="bFASB">FASB_Stmts!$F$12:$F$77</definedName>
    <definedName name="bFASBADJ">FASB_Adj!$F$13:$F$129</definedName>
    <definedName name="bGASB">GASB_Stmts!$F$13:$F$186</definedName>
    <definedName name="CAFRData">ACFR_Stmts!$A$1:$H$1025</definedName>
    <definedName name="compnumtxt">'All Agencies'!$C$3:$C$134</definedName>
    <definedName name="ErrorKey">[1]Errors!$B$1:$B$216</definedName>
    <definedName name="ErrorTable">[1]Errors!$A$1:$AC$216</definedName>
    <definedName name="FCCSent">'All Agencies'!$R$2:$S$11</definedName>
    <definedName name="FCCSNum">'All Agencies'!$N$2:$O$13</definedName>
    <definedName name="Gasb515">'515'!$D$8</definedName>
    <definedName name="Gasb520">'520'!$D$8</definedName>
    <definedName name="Gasb525">'525'!$D$8</definedName>
    <definedName name="Gasb530">'530'!$D$8</definedName>
    <definedName name="Gasb535">'535'!$D$7</definedName>
    <definedName name="IdxNa">Index!$B$41:$B$67</definedName>
    <definedName name="IdxSheetNum">Index!$A$41:$A$67</definedName>
    <definedName name="IdxTable">Index!$A$41:$Z$67</definedName>
    <definedName name="Listfor515and520">Data!$A$15:$A$48</definedName>
    <definedName name="Listfor525and530">Data!$A$49:$A$145</definedName>
    <definedName name="Listfor535">Data!$A$15:$A$145</definedName>
    <definedName name="NMcompgasb">Agencies!$F$3:$F$13</definedName>
    <definedName name="NMcompname">Agencies!$D$3:$D$13</definedName>
    <definedName name="NMcompnum">Agencies!$B$3:$B$13</definedName>
    <definedName name="NMcompnumtxt">Agencies!$C$3:$C$13</definedName>
    <definedName name="NMCompRepMod">Agencies!$E$3:$E$13</definedName>
    <definedName name="NMcomptable">Agencies!$A$3:$G$13</definedName>
    <definedName name="NMConcNum">Agencies!$A$3:$A$13</definedName>
    <definedName name="NMEquity">Agencies!$G$3:$G$13</definedName>
    <definedName name="_xlnm.Print_Area" localSheetId="8">'110'!$A$1:$K$57</definedName>
    <definedName name="_xlnm.Print_Area" localSheetId="9">'115'!$A$1:$L$114</definedName>
    <definedName name="_xlnm.Print_Area" localSheetId="10">'120'!$A$1:$J$49</definedName>
    <definedName name="_xlnm.Print_Area" localSheetId="11">'323'!$B$1:$L$82</definedName>
    <definedName name="_xlnm.Print_Area" localSheetId="15">'375'!$A$1:$M$45</definedName>
    <definedName name="_xlnm.Print_Area" localSheetId="16">'420'!$B$1:$J$30</definedName>
    <definedName name="_xlnm.Print_Area" localSheetId="17">'430'!$A$1:$N$43</definedName>
    <definedName name="_xlnm.Print_Area" localSheetId="18">'515'!$A$1:$Q$34</definedName>
    <definedName name="_xlnm.Print_Area" localSheetId="19">'520'!$A$1:$Q$34</definedName>
    <definedName name="_xlnm.Print_Area" localSheetId="20">'525'!$A$1:$Q$35</definedName>
    <definedName name="_xlnm.Print_Area" localSheetId="21">'530'!$A$1:$Q$34</definedName>
    <definedName name="_xlnm.Print_Area" localSheetId="22">'535'!$A$1:$Q$35</definedName>
    <definedName name="_xlnm.Print_Area" localSheetId="23">'602'!$A$1:$H$58</definedName>
    <definedName name="_xlnm.Print_Area" localSheetId="26">'625'!$A$1:$W$30</definedName>
    <definedName name="_xlnm.Print_Area" localSheetId="6">ACFR_Stmts!$A$1:$H$121</definedName>
    <definedName name="_xlnm.Print_Area" localSheetId="1">Dashboard!$A$1:$M$48</definedName>
    <definedName name="_xlnm.Print_Area" localSheetId="5">FASB_Adj!$A$1:$G$166</definedName>
    <definedName name="_xlnm.Print_Area" localSheetId="4">FASB_Stmts!$A$1:$G$86</definedName>
    <definedName name="_xlnm.Print_Area" localSheetId="3">GASB_Stmts!$A$1:$H$189</definedName>
    <definedName name="_xlnm.Print_Area" localSheetId="0">Index!$A$1:$Q$70</definedName>
    <definedName name="_xlnm.Print_Area" localSheetId="7">Variances!$A$1:$M$113</definedName>
    <definedName name="_xlnm.Print_Titles" localSheetId="30">'All Agencies'!$C:$D,'All Agencies'!$1:$2</definedName>
    <definedName name="_xlnm.Print_Titles" localSheetId="0">Index!$1:$4</definedName>
    <definedName name="_xlnm.Print_Titles" localSheetId="2">'Pkg Updates'!$1:$5</definedName>
    <definedName name="_xlnm.Print_Titles" localSheetId="31">PriorYrBal!$A:$B,PriorYrBal!$1:$9</definedName>
    <definedName name="w515Data">'515'!$W$14:$AB$26</definedName>
    <definedName name="w520Data">'520'!$W$14:$AB$31</definedName>
    <definedName name="w525Data">'525'!$W$14:$AB$32</definedName>
    <definedName name="w530Data">'530'!$W$14:$AB$31</definedName>
    <definedName name="Z_1250FD07_FF56_4A9D_AF9E_C27124A7EBE9_.wvu.PrintArea" localSheetId="8" hidden="1">'110'!$B$1:$J$70</definedName>
    <definedName name="Z_1250FD07_FF56_4A9D_AF9E_C27124A7EBE9_.wvu.PrintArea" localSheetId="9" hidden="1">'115'!$B$1:$J$63</definedName>
    <definedName name="Z_1250FD07_FF56_4A9D_AF9E_C27124A7EBE9_.wvu.PrintArea" localSheetId="10" hidden="1">'120'!$B$1:$J$71</definedName>
    <definedName name="Z_1250FD07_FF56_4A9D_AF9E_C27124A7EBE9_.wvu.PrintArea" localSheetId="13" hidden="1">'345'!$B$1:$L$53</definedName>
    <definedName name="Z_1250FD07_FF56_4A9D_AF9E_C27124A7EBE9_.wvu.PrintArea" localSheetId="14" hidden="1">'355'!$B$1:$M$63</definedName>
    <definedName name="Z_1250FD07_FF56_4A9D_AF9E_C27124A7EBE9_.wvu.PrintArea" localSheetId="16" hidden="1">'420'!$B$1:$M$24</definedName>
    <definedName name="Z_1250FD07_FF56_4A9D_AF9E_C27124A7EBE9_.wvu.PrintArea" localSheetId="17" hidden="1">'430'!$B$1:$M$27</definedName>
    <definedName name="Z_1250FD07_FF56_4A9D_AF9E_C27124A7EBE9_.wvu.PrintArea" localSheetId="18" hidden="1">'515'!$B$1:$Q$34</definedName>
    <definedName name="Z_1250FD07_FF56_4A9D_AF9E_C27124A7EBE9_.wvu.PrintArea" localSheetId="19" hidden="1">'520'!$B$1:$Q$34</definedName>
    <definedName name="Z_1250FD07_FF56_4A9D_AF9E_C27124A7EBE9_.wvu.PrintArea" localSheetId="20" hidden="1">'525'!$B$1:$Q$35</definedName>
    <definedName name="Z_1250FD07_FF56_4A9D_AF9E_C27124A7EBE9_.wvu.PrintArea" localSheetId="21" hidden="1">'530'!$B$1:$Q$34</definedName>
    <definedName name="Z_1250FD07_FF56_4A9D_AF9E_C27124A7EBE9_.wvu.PrintArea" localSheetId="22" hidden="1">'535'!$B$1:$Q$37</definedName>
    <definedName name="Z_1250FD07_FF56_4A9D_AF9E_C27124A7EBE9_.wvu.PrintArea" localSheetId="24" hidden="1">'610'!$A$1:$I$42</definedName>
    <definedName name="Z_1250FD07_FF56_4A9D_AF9E_C27124A7EBE9_.wvu.PrintArea" localSheetId="25" hidden="1">'615'!$A$1:$K$34</definedName>
    <definedName name="Z_1250FD07_FF56_4A9D_AF9E_C27124A7EBE9_.wvu.PrintArea" localSheetId="26" hidden="1">'625'!$B$1:$W$29</definedName>
    <definedName name="Z_1250FD07_FF56_4A9D_AF9E_C27124A7EBE9_.wvu.PrintArea" localSheetId="28" hidden="1">'Comments '!$A$1:$N$40</definedName>
    <definedName name="Z_1250FD07_FF56_4A9D_AF9E_C27124A7EBE9_.wvu.PrintArea" localSheetId="27" hidden="1">Explanations!$A$1:$N$10</definedName>
    <definedName name="Z_1250FD07_FF56_4A9D_AF9E_C27124A7EBE9_.wvu.PrintArea" localSheetId="0" hidden="1">Index!$A$1:$K$73</definedName>
    <definedName name="Z_1250FD07_FF56_4A9D_AF9E_C27124A7EBE9_.wvu.PrintTitles" localSheetId="0" hidden="1">Index!$1:$4</definedName>
    <definedName name="Z_1250FD07_FF56_4A9D_AF9E_C27124A7EBE9_.wvu.Rows" localSheetId="0" hidden="1">Index!$1246:$1312</definedName>
    <definedName name="Z_22EE6FEF_0954_4B41_9976_46012513457D_.wvu.PrintArea" localSheetId="13" hidden="1">'345'!$B$1:$K$53</definedName>
    <definedName name="Z_22EE6FEF_0954_4B41_9976_46012513457D_.wvu.PrintArea" localSheetId="16" hidden="1">'420'!$B$1:$K$16</definedName>
    <definedName name="Z_22EE6FEF_0954_4B41_9976_46012513457D_.wvu.PrintArea" localSheetId="18" hidden="1">'515'!$B$1:$P$26</definedName>
    <definedName name="Z_22EE6FEF_0954_4B41_9976_46012513457D_.wvu.PrintArea" localSheetId="19" hidden="1">'520'!$B$1:$P$33</definedName>
    <definedName name="Z_22EE6FEF_0954_4B41_9976_46012513457D_.wvu.PrintArea" localSheetId="20" hidden="1">'525'!$B$1:$P$34</definedName>
    <definedName name="Z_22EE6FEF_0954_4B41_9976_46012513457D_.wvu.PrintArea" localSheetId="21" hidden="1">'530'!$B$1:$P$33</definedName>
    <definedName name="Z_22EE6FEF_0954_4B41_9976_46012513457D_.wvu.PrintArea" localSheetId="22" hidden="1">'535'!$B$1:$P$36</definedName>
    <definedName name="Z_22EE6FEF_0954_4B41_9976_46012513457D_.wvu.PrintArea" localSheetId="26" hidden="1">'625'!$B$1:$V$29</definedName>
    <definedName name="Z_3B9B908F_7E13_4791_A6FD_413206C417A3_.wvu.PrintArea" localSheetId="13" hidden="1">'345'!$B$1:$K$53</definedName>
    <definedName name="Z_3B9B908F_7E13_4791_A6FD_413206C417A3_.wvu.PrintArea" localSheetId="14" hidden="1">'355'!$B$1:$L$52</definedName>
    <definedName name="Z_3B9B908F_7E13_4791_A6FD_413206C417A3_.wvu.PrintArea" localSheetId="18" hidden="1">'515'!$B$1:$P$26</definedName>
    <definedName name="Z_3B9B908F_7E13_4791_A6FD_413206C417A3_.wvu.PrintArea" localSheetId="19" hidden="1">'520'!$B$1:$P$33</definedName>
    <definedName name="Z_3B9B908F_7E13_4791_A6FD_413206C417A3_.wvu.PrintArea" localSheetId="20" hidden="1">'525'!$B$1:$P$34</definedName>
    <definedName name="Z_3B9B908F_7E13_4791_A6FD_413206C417A3_.wvu.PrintArea" localSheetId="21" hidden="1">'530'!$B$1:$P$33</definedName>
    <definedName name="Z_3B9B908F_7E13_4791_A6FD_413206C417A3_.wvu.PrintArea" localSheetId="22" hidden="1">'535'!$B$1:$P$36</definedName>
    <definedName name="Z_3B9B908F_7E13_4791_A6FD_413206C417A3_.wvu.PrintArea" localSheetId="26" hidden="1">'625'!$B$1:$V$29</definedName>
    <definedName name="Z_9FCFC836_1CA5_48BF_958D_24D2EA94B219_.wvu.Cols" localSheetId="8" hidden="1">'110'!$A:$A</definedName>
    <definedName name="Z_9FCFC836_1CA5_48BF_958D_24D2EA94B219_.wvu.Cols" localSheetId="9" hidden="1">'115'!$A:$A</definedName>
    <definedName name="Z_9FCFC836_1CA5_48BF_958D_24D2EA94B219_.wvu.Cols" localSheetId="10" hidden="1">'120'!$A:$A</definedName>
    <definedName name="Z_9FCFC836_1CA5_48BF_958D_24D2EA94B219_.wvu.Cols" localSheetId="16" hidden="1">'420'!$A:$A</definedName>
    <definedName name="Z_9FCFC836_1CA5_48BF_958D_24D2EA94B219_.wvu.PrintArea" localSheetId="8" hidden="1">'110'!$B$1:$J$77</definedName>
    <definedName name="Z_9FCFC836_1CA5_48BF_958D_24D2EA94B219_.wvu.PrintArea" localSheetId="9" hidden="1">'115'!$B$1:$J$71</definedName>
    <definedName name="Z_9FCFC836_1CA5_48BF_958D_24D2EA94B219_.wvu.PrintArea" localSheetId="10" hidden="1">'120'!$B$1:$J$78</definedName>
    <definedName name="Z_9FCFC836_1CA5_48BF_958D_24D2EA94B219_.wvu.PrintArea" localSheetId="16" hidden="1">'420'!$B$1:$M$24</definedName>
    <definedName name="Z_B08879A4_635B_4C39_9937_AC7883D562FC_.wvu.Cols" localSheetId="8" hidden="1">'110'!$A:$A</definedName>
    <definedName name="Z_B08879A4_635B_4C39_9937_AC7883D562FC_.wvu.Cols" localSheetId="9" hidden="1">'115'!$A:$A</definedName>
    <definedName name="Z_B08879A4_635B_4C39_9937_AC7883D562FC_.wvu.Cols" localSheetId="10" hidden="1">'120'!$A:$A</definedName>
    <definedName name="Z_B08879A4_635B_4C39_9937_AC7883D562FC_.wvu.Cols" localSheetId="16" hidden="1">'420'!$A:$A</definedName>
    <definedName name="Z_B08879A4_635B_4C39_9937_AC7883D562FC_.wvu.PrintArea" localSheetId="8" hidden="1">'110'!$B$1:$J$77</definedName>
    <definedName name="Z_B08879A4_635B_4C39_9937_AC7883D562FC_.wvu.PrintArea" localSheetId="9" hidden="1">'115'!$B$1:$J$71</definedName>
    <definedName name="Z_B08879A4_635B_4C39_9937_AC7883D562FC_.wvu.PrintArea" localSheetId="10" hidden="1">'120'!$B$1:$J$78</definedName>
    <definedName name="Z_B08879A4_635B_4C39_9937_AC7883D562FC_.wvu.PrintArea" localSheetId="16" hidden="1">'420'!$B$1:$M$24</definedName>
    <definedName name="Z_BEA4BE86_04D1_4C96_9358_7A260B9D2B2D_.wvu.PrintArea" localSheetId="8" hidden="1">'110'!$B$1:$J$70</definedName>
    <definedName name="Z_BEA4BE86_04D1_4C96_9358_7A260B9D2B2D_.wvu.PrintArea" localSheetId="9" hidden="1">'115'!$B$1:$J$63</definedName>
    <definedName name="Z_BEA4BE86_04D1_4C96_9358_7A260B9D2B2D_.wvu.PrintArea" localSheetId="10" hidden="1">'120'!$B$1:$J$71</definedName>
    <definedName name="Z_BEA4BE86_04D1_4C96_9358_7A260B9D2B2D_.wvu.PrintArea" localSheetId="13" hidden="1">'345'!$B$1:$L$53</definedName>
    <definedName name="Z_BEA4BE86_04D1_4C96_9358_7A260B9D2B2D_.wvu.PrintArea" localSheetId="14" hidden="1">'355'!$B$1:$M$63</definedName>
    <definedName name="Z_BEA4BE86_04D1_4C96_9358_7A260B9D2B2D_.wvu.PrintArea" localSheetId="16" hidden="1">'420'!$B$1:$M$24</definedName>
    <definedName name="Z_BEA4BE86_04D1_4C96_9358_7A260B9D2B2D_.wvu.PrintArea" localSheetId="18" hidden="1">'515'!$B$1:$Q$34</definedName>
    <definedName name="Z_BEA4BE86_04D1_4C96_9358_7A260B9D2B2D_.wvu.PrintArea" localSheetId="19" hidden="1">'520'!$B$1:$Q$34</definedName>
    <definedName name="Z_BEA4BE86_04D1_4C96_9358_7A260B9D2B2D_.wvu.PrintArea" localSheetId="20" hidden="1">'525'!$B$1:$Q$35</definedName>
    <definedName name="Z_BEA4BE86_04D1_4C96_9358_7A260B9D2B2D_.wvu.PrintArea" localSheetId="21" hidden="1">'530'!$B$1:$Q$34</definedName>
    <definedName name="Z_BEA4BE86_04D1_4C96_9358_7A260B9D2B2D_.wvu.PrintArea" localSheetId="22" hidden="1">'535'!$B$1:$Q$37</definedName>
    <definedName name="Z_BEA4BE86_04D1_4C96_9358_7A260B9D2B2D_.wvu.PrintArea" localSheetId="24" hidden="1">'610'!$A$1:$I$42</definedName>
    <definedName name="Z_BEA4BE86_04D1_4C96_9358_7A260B9D2B2D_.wvu.PrintArea" localSheetId="25" hidden="1">'615'!$A$1:$K$34</definedName>
    <definedName name="Z_BEA4BE86_04D1_4C96_9358_7A260B9D2B2D_.wvu.PrintArea" localSheetId="26" hidden="1">'625'!$B$1:$W$29</definedName>
    <definedName name="Z_BEA4BE86_04D1_4C96_9358_7A260B9D2B2D_.wvu.PrintArea" localSheetId="28" hidden="1">'Comments '!$A$1:$N$40</definedName>
    <definedName name="Z_BEA4BE86_04D1_4C96_9358_7A260B9D2B2D_.wvu.PrintArea" localSheetId="27" hidden="1">Explanations!$A$1:$N$10</definedName>
    <definedName name="Z_BEA4BE86_04D1_4C96_9358_7A260B9D2B2D_.wvu.PrintArea" localSheetId="0" hidden="1">Index!$A$1:$K$73</definedName>
    <definedName name="Z_BEA4BE86_04D1_4C96_9358_7A260B9D2B2D_.wvu.PrintTitles" localSheetId="0" hidden="1">Index!$1:$4</definedName>
    <definedName name="Z_BEA4BE86_04D1_4C96_9358_7A260B9D2B2D_.wvu.Rows" localSheetId="0" hidden="1">Index!$1246:$1312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7" i="56" l="1"/>
  <c r="M25" i="56"/>
  <c r="J27" i="15"/>
  <c r="E20" i="43"/>
  <c r="A2" i="56"/>
  <c r="A2" i="29"/>
  <c r="G16" i="4"/>
  <c r="F36" i="4"/>
  <c r="F37" i="4" s="1"/>
  <c r="F24" i="1"/>
  <c r="F59" i="23"/>
  <c r="M32" i="56" l="1"/>
  <c r="M31" i="56"/>
  <c r="M29" i="56"/>
  <c r="M28" i="56"/>
  <c r="M18" i="56"/>
  <c r="M30" i="56"/>
  <c r="M23" i="56" l="1"/>
  <c r="M20" i="56" l="1"/>
  <c r="M19" i="56"/>
  <c r="M22" i="56" l="1"/>
  <c r="M21" i="56"/>
  <c r="M46" i="56" l="1"/>
  <c r="M24" i="56"/>
  <c r="G7" i="21" l="1"/>
  <c r="M16" i="43"/>
  <c r="B2" i="53" l="1"/>
  <c r="L1" i="53"/>
  <c r="B1" i="53" l="1"/>
  <c r="I8" i="53" l="1"/>
  <c r="I7" i="53"/>
  <c r="A111" i="53"/>
  <c r="B120" i="53" s="1"/>
  <c r="M1" i="55"/>
  <c r="H22" i="55"/>
  <c r="E22" i="55"/>
  <c r="M33" i="56" l="1"/>
  <c r="M34" i="56"/>
  <c r="B114" i="53"/>
  <c r="B118" i="53"/>
  <c r="B111" i="53"/>
  <c r="B115" i="53"/>
  <c r="B119" i="53"/>
  <c r="B113" i="53"/>
  <c r="B117" i="53"/>
  <c r="B112" i="53"/>
  <c r="B116" i="53"/>
  <c r="K8" i="55"/>
  <c r="K7" i="55"/>
  <c r="B1" i="55"/>
  <c r="C76" i="38" l="1"/>
  <c r="C75" i="38"/>
  <c r="C74" i="38"/>
  <c r="C73" i="38"/>
  <c r="C72" i="38"/>
  <c r="C71" i="38"/>
  <c r="C70" i="38"/>
  <c r="C69" i="38"/>
  <c r="C68" i="38"/>
  <c r="C67" i="38"/>
  <c r="C66" i="38"/>
  <c r="C65" i="38"/>
  <c r="C64" i="38"/>
  <c r="C63" i="38"/>
  <c r="C62" i="38"/>
  <c r="C61" i="38"/>
  <c r="C60" i="38"/>
  <c r="C59" i="38"/>
  <c r="C58" i="38"/>
  <c r="C57" i="38"/>
  <c r="C56" i="38"/>
  <c r="C55" i="38"/>
  <c r="C54" i="38"/>
  <c r="C53" i="38"/>
  <c r="C52" i="38"/>
  <c r="C51" i="38"/>
  <c r="C50" i="38"/>
  <c r="C49" i="38"/>
  <c r="C48" i="38"/>
  <c r="C47" i="38"/>
  <c r="C46" i="38"/>
  <c r="C45" i="38"/>
  <c r="C44" i="38"/>
  <c r="C43" i="38"/>
  <c r="C42" i="38"/>
  <c r="C41" i="38"/>
  <c r="C40" i="38"/>
  <c r="C39" i="38"/>
  <c r="C38" i="38"/>
  <c r="C37" i="38"/>
  <c r="C36" i="38"/>
  <c r="C35" i="38"/>
  <c r="C34" i="38"/>
  <c r="K33" i="38"/>
  <c r="C33" i="38"/>
  <c r="K32" i="38"/>
  <c r="C32" i="38"/>
  <c r="L32" i="38" s="1"/>
  <c r="K31" i="38"/>
  <c r="C31" i="38"/>
  <c r="L31" i="38" s="1"/>
  <c r="K30" i="38"/>
  <c r="C30" i="38"/>
  <c r="L30" i="38" s="1"/>
  <c r="K29" i="38"/>
  <c r="C29" i="38"/>
  <c r="L29" i="38" s="1"/>
  <c r="K28" i="38"/>
  <c r="C28" i="38"/>
  <c r="L28" i="38" s="1"/>
  <c r="K27" i="38"/>
  <c r="C27" i="38"/>
  <c r="L27" i="38" s="1"/>
  <c r="K26" i="38"/>
  <c r="C26" i="38"/>
  <c r="L26" i="38" s="1"/>
  <c r="K25" i="38"/>
  <c r="C25" i="38"/>
  <c r="L25" i="38" s="1"/>
  <c r="K24" i="38"/>
  <c r="C24" i="38"/>
  <c r="L24" i="38" s="1"/>
  <c r="K23" i="38"/>
  <c r="C23" i="38"/>
  <c r="L23" i="38" s="1"/>
  <c r="K22" i="38"/>
  <c r="C22" i="38"/>
  <c r="L22" i="38" s="1"/>
  <c r="K21" i="38"/>
  <c r="C21" i="38"/>
  <c r="L21" i="38" s="1"/>
  <c r="K20" i="38"/>
  <c r="C20" i="38"/>
  <c r="L20" i="38" s="1"/>
  <c r="K19" i="38"/>
  <c r="C19" i="38"/>
  <c r="L19" i="38" s="1"/>
  <c r="K18" i="38"/>
  <c r="C18" i="38"/>
  <c r="L18" i="38" s="1"/>
  <c r="K17" i="38"/>
  <c r="C17" i="38"/>
  <c r="L17" i="38" s="1"/>
  <c r="K16" i="38"/>
  <c r="C16" i="38"/>
  <c r="L16" i="38" s="1"/>
  <c r="K15" i="38"/>
  <c r="C15" i="38"/>
  <c r="L15" i="38" s="1"/>
  <c r="K14" i="38"/>
  <c r="C14" i="38"/>
  <c r="L14" i="38" s="1"/>
  <c r="K13" i="38"/>
  <c r="C13" i="38"/>
  <c r="L13" i="38" s="1"/>
  <c r="K12" i="38"/>
  <c r="C12" i="38"/>
  <c r="L12" i="38" s="1"/>
  <c r="K11" i="38"/>
  <c r="C11" i="38"/>
  <c r="L11" i="38" s="1"/>
  <c r="A12" i="38"/>
  <c r="K10" i="38"/>
  <c r="C10" i="38"/>
  <c r="L10" i="38" s="1"/>
  <c r="K9" i="38"/>
  <c r="C9" i="38"/>
  <c r="L9" i="38" s="1"/>
  <c r="K8" i="38"/>
  <c r="C8" i="38"/>
  <c r="L8" i="38" s="1"/>
  <c r="C7" i="38"/>
  <c r="C6" i="38"/>
  <c r="C5" i="38"/>
  <c r="C4" i="38"/>
  <c r="C3" i="38"/>
  <c r="A10" i="38" l="1"/>
  <c r="J2" i="43" l="1"/>
  <c r="M35" i="56" s="1"/>
  <c r="B1" i="43" l="1"/>
  <c r="I3" i="43" l="1"/>
  <c r="C7" i="43" l="1"/>
  <c r="C6" i="43"/>
  <c r="F28" i="43" l="1"/>
  <c r="I20" i="43"/>
  <c r="H20" i="43"/>
  <c r="G20" i="43"/>
  <c r="F20" i="43"/>
  <c r="G4" i="52" l="1"/>
  <c r="M45" i="56" s="1"/>
  <c r="A136" i="38" l="1"/>
  <c r="A135" i="38"/>
  <c r="A134" i="38"/>
  <c r="A133" i="38"/>
  <c r="A132" i="38"/>
  <c r="A131" i="38"/>
  <c r="A130" i="38"/>
  <c r="A129" i="38"/>
  <c r="A128" i="38"/>
  <c r="A127" i="38"/>
  <c r="A126" i="38"/>
  <c r="A125" i="38"/>
  <c r="A124" i="38"/>
  <c r="A123" i="38"/>
  <c r="A122" i="38"/>
  <c r="A121" i="38"/>
  <c r="A120" i="38"/>
  <c r="A119" i="38"/>
  <c r="A118" i="38"/>
  <c r="A117" i="38"/>
  <c r="A116" i="38"/>
  <c r="A115" i="38"/>
  <c r="A114" i="38"/>
  <c r="A113" i="38"/>
  <c r="A112" i="38"/>
  <c r="A111" i="38"/>
  <c r="A110" i="38"/>
  <c r="A109" i="38"/>
  <c r="A108" i="38"/>
  <c r="A107" i="38"/>
  <c r="A106" i="38"/>
  <c r="A105" i="38"/>
  <c r="A104" i="38"/>
  <c r="A103" i="38"/>
  <c r="A102" i="38"/>
  <c r="A101" i="38"/>
  <c r="A100" i="38"/>
  <c r="A99" i="38"/>
  <c r="A98" i="38"/>
  <c r="A97" i="38"/>
  <c r="A96" i="38"/>
  <c r="A95" i="38"/>
  <c r="A94" i="38"/>
  <c r="A93" i="38"/>
  <c r="A92" i="38"/>
  <c r="A91" i="38"/>
  <c r="A90" i="38"/>
  <c r="A89" i="38"/>
  <c r="A88" i="38"/>
  <c r="A87" i="38"/>
  <c r="A86" i="38"/>
  <c r="A85" i="38"/>
  <c r="A84" i="38"/>
  <c r="A83" i="38"/>
  <c r="A82" i="38"/>
  <c r="A81" i="38"/>
  <c r="A80" i="38"/>
  <c r="A79" i="38"/>
  <c r="A78" i="38"/>
  <c r="A77" i="38"/>
  <c r="A76" i="38"/>
  <c r="A75" i="38"/>
  <c r="A74" i="38"/>
  <c r="A73" i="38"/>
  <c r="A72" i="38"/>
  <c r="A71" i="38"/>
  <c r="A70" i="38"/>
  <c r="A69" i="38"/>
  <c r="A68" i="38"/>
  <c r="A67" i="38"/>
  <c r="A66" i="38"/>
  <c r="A65" i="38"/>
  <c r="A64" i="38"/>
  <c r="A63" i="38"/>
  <c r="A62" i="38"/>
  <c r="A61" i="38"/>
  <c r="A60" i="38"/>
  <c r="A59" i="38"/>
  <c r="A58" i="38"/>
  <c r="A57" i="38"/>
  <c r="A56" i="38"/>
  <c r="A55" i="38"/>
  <c r="A54" i="38"/>
  <c r="A53" i="38"/>
  <c r="A52" i="38"/>
  <c r="A51" i="38"/>
  <c r="A50" i="38"/>
  <c r="A49" i="38"/>
  <c r="A48" i="38"/>
  <c r="A47" i="38"/>
  <c r="A46" i="38"/>
  <c r="A45" i="38"/>
  <c r="A44" i="38"/>
  <c r="A43" i="38"/>
  <c r="A42" i="38"/>
  <c r="A41" i="38"/>
  <c r="A40" i="38"/>
  <c r="A39" i="38"/>
  <c r="A38" i="38"/>
  <c r="A37" i="38"/>
  <c r="A36" i="38"/>
  <c r="A35" i="38"/>
  <c r="A34" i="38"/>
  <c r="A33" i="38"/>
  <c r="A32" i="38"/>
  <c r="A31" i="38"/>
  <c r="A30" i="38"/>
  <c r="A29" i="38"/>
  <c r="A28" i="38"/>
  <c r="A27" i="38"/>
  <c r="A26" i="38"/>
  <c r="A25" i="38"/>
  <c r="A24" i="38"/>
  <c r="A23" i="38"/>
  <c r="A22" i="38"/>
  <c r="A21" i="38"/>
  <c r="A20" i="38"/>
  <c r="A19" i="38"/>
  <c r="A18" i="38"/>
  <c r="A17" i="38"/>
  <c r="A16" i="38"/>
  <c r="A15" i="38"/>
  <c r="A14" i="38"/>
  <c r="A13" i="38"/>
  <c r="A11" i="38"/>
  <c r="A9" i="38"/>
  <c r="A8" i="38"/>
  <c r="A7" i="38"/>
  <c r="A6" i="38"/>
  <c r="A5" i="38"/>
  <c r="A4" i="38"/>
  <c r="A3" i="38"/>
  <c r="F7" i="52" l="1"/>
  <c r="O7" i="19"/>
  <c r="F34" i="23" l="1"/>
  <c r="A1" i="52" l="1"/>
  <c r="F87" i="4" l="1"/>
  <c r="F88" i="4" s="1"/>
  <c r="H32" i="42" l="1"/>
  <c r="F81" i="4" l="1"/>
  <c r="F82" i="4" s="1"/>
  <c r="O7" i="34" l="1"/>
  <c r="O6" i="34"/>
  <c r="G8" i="21"/>
  <c r="E8" i="20"/>
  <c r="O9" i="15"/>
  <c r="O8" i="15"/>
  <c r="J8" i="12"/>
  <c r="J7" i="12"/>
  <c r="H8" i="11"/>
  <c r="H7" i="11"/>
  <c r="B1" i="49"/>
  <c r="H8" i="49"/>
  <c r="H7" i="49"/>
  <c r="A79" i="49"/>
  <c r="F31" i="49"/>
  <c r="D71" i="42"/>
  <c r="J40" i="42"/>
  <c r="K40" i="42"/>
  <c r="L40" i="42"/>
  <c r="I40" i="42"/>
  <c r="H40" i="42"/>
  <c r="G40" i="42"/>
  <c r="F40" i="42"/>
  <c r="E40" i="42"/>
  <c r="D40" i="42"/>
  <c r="D32" i="42"/>
  <c r="E32" i="42"/>
  <c r="F32" i="42"/>
  <c r="G32" i="42"/>
  <c r="I32" i="42"/>
  <c r="J32" i="42"/>
  <c r="K32" i="42"/>
  <c r="L32" i="42"/>
  <c r="F46" i="1"/>
  <c r="F126" i="4" s="1"/>
  <c r="H8" i="48"/>
  <c r="H7" i="48"/>
  <c r="B1" i="48"/>
  <c r="I28" i="20"/>
  <c r="J1" i="46"/>
  <c r="M26" i="56" s="1"/>
  <c r="G11" i="46"/>
  <c r="G10" i="46"/>
  <c r="A1" i="46"/>
  <c r="F69" i="23"/>
  <c r="F133" i="23"/>
  <c r="K55" i="12"/>
  <c r="G39" i="12"/>
  <c r="G31" i="12"/>
  <c r="J54" i="11"/>
  <c r="B40" i="11"/>
  <c r="I40" i="11"/>
  <c r="B31" i="11"/>
  <c r="I31" i="11"/>
  <c r="F37" i="45"/>
  <c r="H8" i="45"/>
  <c r="H7" i="45"/>
  <c r="B1" i="45"/>
  <c r="A78" i="45"/>
  <c r="H1" i="3"/>
  <c r="H1" i="23"/>
  <c r="K1" i="24"/>
  <c r="C12" i="31"/>
  <c r="A12" i="31" s="1"/>
  <c r="C11" i="31"/>
  <c r="A11" i="31" s="1"/>
  <c r="C10" i="31"/>
  <c r="A10" i="31" s="1"/>
  <c r="C9" i="31"/>
  <c r="A9" i="31" s="1"/>
  <c r="C8" i="31"/>
  <c r="A8" i="31" s="1"/>
  <c r="C7" i="31"/>
  <c r="A7" i="31" s="1"/>
  <c r="C6" i="31"/>
  <c r="A6" i="31" s="1"/>
  <c r="C5" i="31"/>
  <c r="A5" i="31" s="1"/>
  <c r="C4" i="31"/>
  <c r="A4" i="31" s="1"/>
  <c r="C3" i="31"/>
  <c r="A3" i="31" s="1"/>
  <c r="B2" i="55"/>
  <c r="L99" i="42"/>
  <c r="L107" i="42" s="1"/>
  <c r="L111" i="42" s="1"/>
  <c r="L80" i="42"/>
  <c r="G10" i="31" s="1"/>
  <c r="L71" i="42"/>
  <c r="L58" i="42"/>
  <c r="K99" i="42"/>
  <c r="K107" i="42" s="1"/>
  <c r="K111" i="42" s="1"/>
  <c r="K80" i="42"/>
  <c r="G13" i="31" s="1"/>
  <c r="K71" i="42"/>
  <c r="K58" i="42"/>
  <c r="A14" i="31"/>
  <c r="A13" i="31"/>
  <c r="D80" i="42"/>
  <c r="D58" i="42"/>
  <c r="J99" i="42"/>
  <c r="J107" i="42" s="1"/>
  <c r="J111" i="42" s="1"/>
  <c r="F99" i="42"/>
  <c r="F107" i="42" s="1"/>
  <c r="F111" i="42" s="1"/>
  <c r="G99" i="42"/>
  <c r="G107" i="42" s="1"/>
  <c r="G111" i="42" s="1"/>
  <c r="H99" i="42"/>
  <c r="H107" i="42" s="1"/>
  <c r="H111" i="42" s="1"/>
  <c r="D99" i="42"/>
  <c r="D107" i="42" s="1"/>
  <c r="D111" i="42" s="1"/>
  <c r="G80" i="42"/>
  <c r="G9" i="31" s="1"/>
  <c r="H80" i="42"/>
  <c r="G8" i="31" s="1"/>
  <c r="I80" i="42"/>
  <c r="G11" i="31" s="1"/>
  <c r="J80" i="42"/>
  <c r="H71" i="42"/>
  <c r="I71" i="42"/>
  <c r="J71" i="42"/>
  <c r="G58" i="42"/>
  <c r="H58" i="42"/>
  <c r="I58" i="42"/>
  <c r="J58" i="42"/>
  <c r="F20" i="4"/>
  <c r="F21" i="4" s="1"/>
  <c r="G141" i="23"/>
  <c r="G140" i="23"/>
  <c r="G139" i="23"/>
  <c r="G71" i="42"/>
  <c r="F71" i="42"/>
  <c r="E71" i="42"/>
  <c r="J16" i="29"/>
  <c r="F87" i="3"/>
  <c r="F11" i="3"/>
  <c r="F55" i="1"/>
  <c r="F10" i="1"/>
  <c r="F147" i="23"/>
  <c r="F10" i="23"/>
  <c r="E99" i="42"/>
  <c r="E107" i="42" s="1"/>
  <c r="E111" i="42" s="1"/>
  <c r="E80" i="42"/>
  <c r="G6" i="31" s="1"/>
  <c r="E58" i="42"/>
  <c r="I99" i="42"/>
  <c r="I107" i="42" s="1"/>
  <c r="I111" i="42" s="1"/>
  <c r="F80" i="42"/>
  <c r="G7" i="31" s="1"/>
  <c r="F58" i="42"/>
  <c r="A1" i="42"/>
  <c r="G136" i="23"/>
  <c r="D33" i="14"/>
  <c r="G74" i="1" s="1"/>
  <c r="N1" i="26"/>
  <c r="N1" i="25"/>
  <c r="G174" i="23"/>
  <c r="G168" i="23"/>
  <c r="G183" i="23"/>
  <c r="G182" i="23"/>
  <c r="F93" i="4"/>
  <c r="F112" i="4"/>
  <c r="F113" i="4"/>
  <c r="F119" i="4"/>
  <c r="W1" i="34"/>
  <c r="A1" i="24"/>
  <c r="E10" i="24"/>
  <c r="C10" i="24"/>
  <c r="H33" i="17"/>
  <c r="H24" i="17"/>
  <c r="A1" i="25"/>
  <c r="B1" i="34"/>
  <c r="A31" i="34"/>
  <c r="K1" i="21"/>
  <c r="Q1" i="19"/>
  <c r="Q1" i="18"/>
  <c r="Q1" i="17"/>
  <c r="Q1" i="16"/>
  <c r="Q1" i="15"/>
  <c r="N1" i="14"/>
  <c r="F7" i="3"/>
  <c r="F6" i="3"/>
  <c r="F7" i="4"/>
  <c r="F6" i="4"/>
  <c r="H1" i="1"/>
  <c r="F7" i="1"/>
  <c r="F6" i="1"/>
  <c r="F6" i="23"/>
  <c r="F7" i="23"/>
  <c r="A1" i="1"/>
  <c r="A1" i="23"/>
  <c r="F120" i="4"/>
  <c r="A1" i="4"/>
  <c r="A1" i="3"/>
  <c r="H1" i="4"/>
  <c r="B7" i="24"/>
  <c r="A1" i="26"/>
  <c r="A1" i="21"/>
  <c r="A1" i="20"/>
  <c r="B1" i="19"/>
  <c r="B1" i="18"/>
  <c r="B1" i="16"/>
  <c r="B1" i="15"/>
  <c r="B1" i="14"/>
  <c r="B1" i="12"/>
  <c r="B1" i="11"/>
  <c r="B1" i="17"/>
  <c r="H26" i="15"/>
  <c r="G26" i="4"/>
  <c r="G15" i="4"/>
  <c r="G25" i="4"/>
  <c r="G24" i="4"/>
  <c r="G14" i="4"/>
  <c r="G13" i="4"/>
  <c r="F122" i="4"/>
  <c r="J8" i="26"/>
  <c r="J8" i="25"/>
  <c r="O8" i="19"/>
  <c r="O9" i="18"/>
  <c r="O9" i="17"/>
  <c r="O9" i="16"/>
  <c r="K8" i="14"/>
  <c r="J7" i="26"/>
  <c r="J7" i="25"/>
  <c r="F7" i="24"/>
  <c r="O8" i="18"/>
  <c r="O8" i="17"/>
  <c r="O8" i="16"/>
  <c r="K7" i="14"/>
  <c r="F5" i="3"/>
  <c r="F5" i="4"/>
  <c r="F5" i="1"/>
  <c r="F5" i="23"/>
  <c r="J14" i="29"/>
  <c r="J15" i="29"/>
  <c r="F75" i="4"/>
  <c r="F76" i="4" s="1"/>
  <c r="F66" i="1"/>
  <c r="F71" i="1" s="1"/>
  <c r="F157" i="23"/>
  <c r="F159" i="23" s="1"/>
  <c r="F175" i="23"/>
  <c r="F177" i="23" s="1"/>
  <c r="F97" i="23"/>
  <c r="F119" i="23"/>
  <c r="F143" i="23"/>
  <c r="W15" i="19"/>
  <c r="V15" i="19"/>
  <c r="U15" i="19"/>
  <c r="T15" i="19"/>
  <c r="W16" i="19"/>
  <c r="V16" i="19"/>
  <c r="U16" i="19"/>
  <c r="T16" i="19"/>
  <c r="W17" i="19"/>
  <c r="V17" i="19"/>
  <c r="U17" i="19"/>
  <c r="T17" i="19"/>
  <c r="W18" i="19"/>
  <c r="V18" i="19"/>
  <c r="U18" i="19"/>
  <c r="T18" i="19"/>
  <c r="W19" i="19"/>
  <c r="V19" i="19"/>
  <c r="U19" i="19"/>
  <c r="T19" i="19"/>
  <c r="W20" i="19"/>
  <c r="V20" i="19"/>
  <c r="U20" i="19"/>
  <c r="T20" i="19"/>
  <c r="W21" i="19"/>
  <c r="V21" i="19"/>
  <c r="U21" i="19"/>
  <c r="T21" i="19"/>
  <c r="H22" i="19"/>
  <c r="W28" i="19"/>
  <c r="V28" i="19"/>
  <c r="U28" i="19"/>
  <c r="T28" i="19"/>
  <c r="W29" i="19"/>
  <c r="V29" i="19"/>
  <c r="U29" i="19"/>
  <c r="T29" i="19"/>
  <c r="W30" i="19"/>
  <c r="V30" i="19"/>
  <c r="U30" i="19"/>
  <c r="T30" i="19"/>
  <c r="W31" i="19"/>
  <c r="V31" i="19"/>
  <c r="U31" i="19"/>
  <c r="T31" i="19"/>
  <c r="W32" i="19"/>
  <c r="V32" i="19"/>
  <c r="U32" i="19"/>
  <c r="T32" i="19"/>
  <c r="W33" i="19"/>
  <c r="V33" i="19"/>
  <c r="U33" i="19"/>
  <c r="T33" i="19"/>
  <c r="W34" i="19"/>
  <c r="V34" i="19"/>
  <c r="U34" i="19"/>
  <c r="T34" i="19"/>
  <c r="H35" i="19"/>
  <c r="J35" i="19" s="1"/>
  <c r="A40" i="19"/>
  <c r="H32" i="18"/>
  <c r="A38" i="18"/>
  <c r="A39" i="17"/>
  <c r="H32" i="16"/>
  <c r="A38" i="16"/>
  <c r="A38" i="15"/>
  <c r="A37" i="14"/>
  <c r="A67" i="12"/>
  <c r="A57" i="11"/>
  <c r="F121" i="4"/>
  <c r="F114" i="4"/>
  <c r="F115" i="4"/>
  <c r="F62" i="4"/>
  <c r="F63" i="4" s="1"/>
  <c r="F37" i="1"/>
  <c r="F102" i="4"/>
  <c r="F103" i="4" s="1"/>
  <c r="F56" i="4"/>
  <c r="F57" i="4" s="1"/>
  <c r="F50" i="4"/>
  <c r="F51" i="4" s="1"/>
  <c r="F43" i="4"/>
  <c r="F44" i="4" s="1"/>
  <c r="F28" i="4"/>
  <c r="F29" i="4" s="1"/>
  <c r="F108" i="4"/>
  <c r="J2" i="33"/>
  <c r="G82" i="42" l="1"/>
  <c r="B2" i="43"/>
  <c r="D10" i="29"/>
  <c r="M6" i="56" s="1"/>
  <c r="F178" i="23"/>
  <c r="F184" i="23" s="1"/>
  <c r="I113" i="42"/>
  <c r="S29" i="19"/>
  <c r="R29" i="19" s="1"/>
  <c r="S21" i="19"/>
  <c r="R21" i="19" s="1"/>
  <c r="S16" i="19"/>
  <c r="R16" i="19" s="1"/>
  <c r="B2" i="48"/>
  <c r="A2" i="52"/>
  <c r="B2" i="45"/>
  <c r="F60" i="23"/>
  <c r="I82" i="42"/>
  <c r="B2" i="19"/>
  <c r="A2" i="20"/>
  <c r="A2" i="1"/>
  <c r="A2" i="24"/>
  <c r="B2" i="12"/>
  <c r="F48" i="1"/>
  <c r="S34" i="19"/>
  <c r="R34" i="19" s="1"/>
  <c r="S33" i="19"/>
  <c r="R33" i="19" s="1"/>
  <c r="H82" i="42"/>
  <c r="B2" i="11"/>
  <c r="B2" i="49"/>
  <c r="B2" i="34"/>
  <c r="S19" i="19"/>
  <c r="R19" i="19" s="1"/>
  <c r="B2" i="17"/>
  <c r="B2" i="15"/>
  <c r="S32" i="19"/>
  <c r="R32" i="19" s="1"/>
  <c r="S28" i="19"/>
  <c r="R28" i="19" s="1"/>
  <c r="F120" i="23"/>
  <c r="L113" i="42"/>
  <c r="E113" i="42"/>
  <c r="S20" i="19"/>
  <c r="R20" i="19" s="1"/>
  <c r="S18" i="19"/>
  <c r="R18" i="19" s="1"/>
  <c r="S17" i="19"/>
  <c r="R17" i="19" s="1"/>
  <c r="F82" i="42"/>
  <c r="S30" i="19"/>
  <c r="R30" i="19" s="1"/>
  <c r="K113" i="42"/>
  <c r="G186" i="23"/>
  <c r="S31" i="19"/>
  <c r="R31" i="19" s="1"/>
  <c r="S15" i="19"/>
  <c r="R15" i="19" s="1"/>
  <c r="K82" i="42"/>
  <c r="L82" i="42"/>
  <c r="G12" i="31"/>
  <c r="J113" i="42"/>
  <c r="J82" i="42"/>
  <c r="F123" i="4"/>
  <c r="F128" i="4" s="1"/>
  <c r="F116" i="4"/>
  <c r="F127" i="4" s="1"/>
  <c r="E82" i="42"/>
  <c r="D113" i="42"/>
  <c r="G3" i="31"/>
  <c r="B2" i="16"/>
  <c r="B2" i="18"/>
  <c r="A2" i="3"/>
  <c r="A2" i="4"/>
  <c r="A2" i="25"/>
  <c r="A2" i="21"/>
  <c r="A2" i="46"/>
  <c r="A2" i="42"/>
  <c r="A2" i="23"/>
  <c r="A2" i="26"/>
  <c r="B2" i="14"/>
  <c r="D82" i="42"/>
  <c r="H113" i="42"/>
  <c r="G113" i="42"/>
  <c r="F113" i="42"/>
  <c r="M37" i="56" l="1"/>
  <c r="A8" i="53"/>
  <c r="A7" i="53"/>
  <c r="A6" i="53"/>
  <c r="I5" i="53"/>
  <c r="A5" i="53"/>
  <c r="A4" i="53"/>
  <c r="A110" i="53"/>
  <c r="A3" i="53"/>
  <c r="A1" i="53"/>
  <c r="A10" i="53"/>
  <c r="A2" i="53"/>
  <c r="A9" i="53"/>
  <c r="F5" i="52"/>
  <c r="K5" i="55"/>
  <c r="F185" i="23"/>
  <c r="F187" i="23" s="1"/>
  <c r="F189" i="23" s="1"/>
  <c r="C5" i="1"/>
  <c r="A6" i="49"/>
  <c r="C5" i="34"/>
  <c r="J5" i="25"/>
  <c r="C5" i="3"/>
  <c r="P1" i="3" s="1"/>
  <c r="A9" i="49"/>
  <c r="O6" i="16"/>
  <c r="G5" i="21"/>
  <c r="A78" i="49"/>
  <c r="F5" i="24"/>
  <c r="O6" i="17"/>
  <c r="H5" i="45"/>
  <c r="H5" i="49"/>
  <c r="K5" i="14"/>
  <c r="H5" i="48"/>
  <c r="J11" i="29"/>
  <c r="D11" i="29"/>
  <c r="I6" i="53" s="1"/>
  <c r="H5" i="11"/>
  <c r="A8" i="49"/>
  <c r="D13" i="29"/>
  <c r="A4" i="49"/>
  <c r="G8" i="46"/>
  <c r="C5" i="23"/>
  <c r="F73" i="1"/>
  <c r="F78" i="1" s="1"/>
  <c r="F80" i="1" s="1"/>
  <c r="O6" i="15"/>
  <c r="A5" i="49"/>
  <c r="A3" i="49"/>
  <c r="A1" i="49"/>
  <c r="D12" i="29"/>
  <c r="J5" i="12"/>
  <c r="O5" i="19"/>
  <c r="C5" i="4"/>
  <c r="E5" i="20"/>
  <c r="A7" i="49"/>
  <c r="A10" i="49"/>
  <c r="G6" i="43"/>
  <c r="J5" i="26"/>
  <c r="O6" i="18"/>
  <c r="A2" i="49"/>
  <c r="F145" i="23"/>
  <c r="F129" i="4"/>
  <c r="R35" i="19"/>
  <c r="R22" i="19"/>
  <c r="F99" i="3" l="1"/>
  <c r="F55" i="3"/>
  <c r="C53" i="24" s="1"/>
  <c r="F71" i="3"/>
  <c r="C69" i="24" s="1"/>
  <c r="F22" i="3"/>
  <c r="C21" i="24" s="1"/>
  <c r="F19" i="3"/>
  <c r="C18" i="24" s="1"/>
  <c r="F93" i="3"/>
  <c r="C91" i="24" s="1"/>
  <c r="F98" i="3"/>
  <c r="C96" i="24" s="1"/>
  <c r="F18" i="3"/>
  <c r="M44" i="56" s="1"/>
  <c r="P2" i="3"/>
  <c r="G7" i="43"/>
  <c r="K6" i="55"/>
  <c r="F90" i="3"/>
  <c r="C88" i="24" s="1"/>
  <c r="F38" i="3"/>
  <c r="F91" i="3"/>
  <c r="C89" i="24" s="1"/>
  <c r="C7" i="1"/>
  <c r="C6" i="34"/>
  <c r="F14" i="3"/>
  <c r="C13" i="24" s="1"/>
  <c r="F56" i="3"/>
  <c r="C54" i="24" s="1"/>
  <c r="D8" i="17"/>
  <c r="C7" i="3"/>
  <c r="D8" i="16"/>
  <c r="O7" i="16"/>
  <c r="O7" i="17"/>
  <c r="H6" i="49"/>
  <c r="C7" i="34"/>
  <c r="H71" i="29"/>
  <c r="J6" i="25"/>
  <c r="O7" i="18"/>
  <c r="E6" i="20"/>
  <c r="F23" i="3"/>
  <c r="C22" i="24" s="1"/>
  <c r="D8" i="15"/>
  <c r="J6" i="12"/>
  <c r="F27" i="3"/>
  <c r="M41" i="56" s="1"/>
  <c r="C7" i="23"/>
  <c r="C8" i="23" s="1"/>
  <c r="C6" i="3"/>
  <c r="O7" i="15"/>
  <c r="F26" i="3"/>
  <c r="C25" i="24" s="1"/>
  <c r="F94" i="3"/>
  <c r="C92" i="24" s="1"/>
  <c r="F104" i="3"/>
  <c r="C102" i="24" s="1"/>
  <c r="J12" i="29"/>
  <c r="F41" i="3"/>
  <c r="C39" i="24" s="1"/>
  <c r="D8" i="18"/>
  <c r="H6" i="11"/>
  <c r="C6" i="23"/>
  <c r="F40" i="3"/>
  <c r="C38" i="24" s="1"/>
  <c r="F76" i="3"/>
  <c r="C74" i="24" s="1"/>
  <c r="F32" i="3"/>
  <c r="C31" i="24" s="1"/>
  <c r="F29" i="3"/>
  <c r="C28" i="24" s="1"/>
  <c r="F47" i="3"/>
  <c r="C45" i="24" s="1"/>
  <c r="F30" i="3"/>
  <c r="C29" i="24" s="1"/>
  <c r="F25" i="3"/>
  <c r="C24" i="24" s="1"/>
  <c r="F107" i="3"/>
  <c r="C105" i="24" s="1"/>
  <c r="F81" i="3"/>
  <c r="C79" i="24" s="1"/>
  <c r="F112" i="3"/>
  <c r="M36" i="56" s="1"/>
  <c r="F69" i="3"/>
  <c r="C67" i="24" s="1"/>
  <c r="F95" i="3"/>
  <c r="C93" i="24" s="1"/>
  <c r="F28" i="3"/>
  <c r="M38" i="56" s="1"/>
  <c r="F52" i="3"/>
  <c r="M43" i="56" s="1"/>
  <c r="F13" i="3"/>
  <c r="B6" i="24"/>
  <c r="E53" i="24" s="1"/>
  <c r="I53" i="24" s="1"/>
  <c r="G6" i="21"/>
  <c r="F79" i="3"/>
  <c r="G79" i="3" s="1"/>
  <c r="F58" i="3"/>
  <c r="C56" i="24" s="1"/>
  <c r="F70" i="3"/>
  <c r="C68" i="24" s="1"/>
  <c r="F46" i="3"/>
  <c r="C44" i="24" s="1"/>
  <c r="F89" i="3"/>
  <c r="C87" i="24" s="1"/>
  <c r="F21" i="3"/>
  <c r="C20" i="24" s="1"/>
  <c r="F50" i="3"/>
  <c r="C48" i="24" s="1"/>
  <c r="F59" i="3"/>
  <c r="C57" i="24" s="1"/>
  <c r="F97" i="3"/>
  <c r="C95" i="24" s="1"/>
  <c r="F16" i="3"/>
  <c r="M40" i="56" s="1"/>
  <c r="F24" i="3"/>
  <c r="C23" i="24" s="1"/>
  <c r="F68" i="3"/>
  <c r="C66" i="24" s="1"/>
  <c r="F106" i="3"/>
  <c r="C104" i="24" s="1"/>
  <c r="F31" i="3"/>
  <c r="C30" i="24" s="1"/>
  <c r="F51" i="3"/>
  <c r="C49" i="24" s="1"/>
  <c r="F48" i="3"/>
  <c r="M42" i="56" s="1"/>
  <c r="F72" i="3"/>
  <c r="C70" i="24" s="1"/>
  <c r="F111" i="3"/>
  <c r="C109" i="24" s="1"/>
  <c r="F45" i="3"/>
  <c r="C43" i="24" s="1"/>
  <c r="F66" i="3"/>
  <c r="C64" i="24" s="1"/>
  <c r="F65" i="3"/>
  <c r="C63" i="24" s="1"/>
  <c r="F53" i="3"/>
  <c r="C51" i="24" s="1"/>
  <c r="C7" i="4"/>
  <c r="D7" i="19"/>
  <c r="H6" i="48"/>
  <c r="J6" i="26"/>
  <c r="F6" i="24"/>
  <c r="K6" i="14"/>
  <c r="F6" i="52"/>
  <c r="F67" i="3"/>
  <c r="C65" i="24" s="1"/>
  <c r="F49" i="3"/>
  <c r="M39" i="56" s="1"/>
  <c r="F37" i="3"/>
  <c r="C36" i="24" s="1"/>
  <c r="F80" i="3"/>
  <c r="G80" i="3" s="1"/>
  <c r="F63" i="3"/>
  <c r="C61" i="24" s="1"/>
  <c r="F54" i="3"/>
  <c r="C52" i="24" s="1"/>
  <c r="F36" i="3"/>
  <c r="F92" i="3"/>
  <c r="C90" i="24" s="1"/>
  <c r="F100" i="3"/>
  <c r="C98" i="24" s="1"/>
  <c r="F64" i="3"/>
  <c r="C62" i="24" s="1"/>
  <c r="F39" i="3"/>
  <c r="C37" i="24" s="1"/>
  <c r="F15" i="3"/>
  <c r="C14" i="24" s="1"/>
  <c r="F20" i="3"/>
  <c r="C19" i="24" s="1"/>
  <c r="F78" i="3"/>
  <c r="C76" i="24" s="1"/>
  <c r="C6" i="4"/>
  <c r="O6" i="19"/>
  <c r="O5" i="34"/>
  <c r="C6" i="1"/>
  <c r="H6" i="45"/>
  <c r="G9" i="46"/>
  <c r="F96" i="3"/>
  <c r="C94" i="24" s="1"/>
  <c r="J33" i="15" l="1"/>
  <c r="J23" i="19"/>
  <c r="C17" i="24"/>
  <c r="J33" i="18"/>
  <c r="J34" i="17"/>
  <c r="J25" i="17"/>
  <c r="J33" i="16"/>
  <c r="H35" i="14"/>
  <c r="G53" i="24"/>
  <c r="G28" i="3"/>
  <c r="G17" i="3"/>
  <c r="C97" i="24"/>
  <c r="C99" i="24" s="1"/>
  <c r="E21" i="24"/>
  <c r="E97" i="24"/>
  <c r="E69" i="24"/>
  <c r="I69" i="24" s="1"/>
  <c r="C12" i="24"/>
  <c r="F33" i="3"/>
  <c r="E98" i="24"/>
  <c r="G98" i="24" s="1"/>
  <c r="I98" i="24" s="1"/>
  <c r="E17" i="24"/>
  <c r="I17" i="24" s="1"/>
  <c r="E96" i="24"/>
  <c r="G52" i="3"/>
  <c r="G48" i="3"/>
  <c r="G16" i="3"/>
  <c r="G112" i="3"/>
  <c r="E49" i="24"/>
  <c r="I49" i="24" s="1"/>
  <c r="E26" i="24"/>
  <c r="E20" i="24"/>
  <c r="G20" i="24" s="1"/>
  <c r="I20" i="24" s="1"/>
  <c r="E93" i="24"/>
  <c r="G93" i="24" s="1"/>
  <c r="I93" i="24" s="1"/>
  <c r="E68" i="24"/>
  <c r="G68" i="24" s="1"/>
  <c r="I68" i="24" s="1"/>
  <c r="E89" i="24"/>
  <c r="E91" i="24"/>
  <c r="I91" i="24" s="1"/>
  <c r="E76" i="24"/>
  <c r="G76" i="24" s="1"/>
  <c r="I76" i="24" s="1"/>
  <c r="E50" i="24"/>
  <c r="I50" i="24" s="1"/>
  <c r="E12" i="24"/>
  <c r="E27" i="24"/>
  <c r="I27" i="24" s="1"/>
  <c r="E15" i="24"/>
  <c r="E95" i="24"/>
  <c r="G95" i="24" s="1"/>
  <c r="I95" i="24" s="1"/>
  <c r="E102" i="24"/>
  <c r="G102" i="24" s="1"/>
  <c r="I102" i="24" s="1"/>
  <c r="E70" i="24"/>
  <c r="I70" i="24" s="1"/>
  <c r="E14" i="24"/>
  <c r="G14" i="24" s="1"/>
  <c r="I14" i="24" s="1"/>
  <c r="E31" i="24"/>
  <c r="G31" i="24" s="1"/>
  <c r="I31" i="24" s="1"/>
  <c r="E39" i="24"/>
  <c r="I39" i="24" s="1"/>
  <c r="E24" i="24"/>
  <c r="G24" i="24" s="1"/>
  <c r="I24" i="24" s="1"/>
  <c r="E92" i="24"/>
  <c r="G92" i="24" s="1"/>
  <c r="I92" i="24" s="1"/>
  <c r="E88" i="24"/>
  <c r="G88" i="24" s="1"/>
  <c r="I88" i="24" s="1"/>
  <c r="E13" i="24"/>
  <c r="G13" i="24" s="1"/>
  <c r="I13" i="24" s="1"/>
  <c r="E110" i="24"/>
  <c r="E22" i="24"/>
  <c r="G22" i="24" s="1"/>
  <c r="I22" i="24" s="1"/>
  <c r="E56" i="24"/>
  <c r="G56" i="24" s="1"/>
  <c r="I56" i="24" s="1"/>
  <c r="E78" i="24"/>
  <c r="E64" i="24"/>
  <c r="I64" i="24" s="1"/>
  <c r="E87" i="24"/>
  <c r="G87" i="24" s="1"/>
  <c r="I87" i="24" s="1"/>
  <c r="E109" i="24"/>
  <c r="G109" i="24" s="1"/>
  <c r="I109" i="24" s="1"/>
  <c r="E57" i="24"/>
  <c r="G57" i="24" s="1"/>
  <c r="I57" i="24" s="1"/>
  <c r="E61" i="24"/>
  <c r="I61" i="24" s="1"/>
  <c r="E36" i="24"/>
  <c r="I36" i="24" s="1"/>
  <c r="E38" i="24"/>
  <c r="G38" i="24" s="1"/>
  <c r="C26" i="24"/>
  <c r="G27" i="3"/>
  <c r="E29" i="24"/>
  <c r="I29" i="24" s="1"/>
  <c r="G107" i="3"/>
  <c r="C110" i="24"/>
  <c r="C77" i="24"/>
  <c r="E19" i="24"/>
  <c r="G19" i="24" s="1"/>
  <c r="I19" i="24" s="1"/>
  <c r="E77" i="24"/>
  <c r="E65" i="24"/>
  <c r="G65" i="24" s="1"/>
  <c r="I65" i="24" s="1"/>
  <c r="E62" i="24"/>
  <c r="I62" i="24" s="1"/>
  <c r="E74" i="24"/>
  <c r="G74" i="24" s="1"/>
  <c r="I74" i="24" s="1"/>
  <c r="E67" i="24"/>
  <c r="G67" i="24" s="1"/>
  <c r="I67" i="24" s="1"/>
  <c r="E105" i="24"/>
  <c r="I105" i="24" s="1"/>
  <c r="E66" i="24"/>
  <c r="G66" i="24" s="1"/>
  <c r="E16" i="24"/>
  <c r="E35" i="24"/>
  <c r="E104" i="24"/>
  <c r="I104" i="24" s="1"/>
  <c r="E90" i="24"/>
  <c r="G90" i="24" s="1"/>
  <c r="I90" i="24" s="1"/>
  <c r="E48" i="24"/>
  <c r="G48" i="24" s="1"/>
  <c r="I48" i="24" s="1"/>
  <c r="E79" i="24"/>
  <c r="E46" i="24"/>
  <c r="E47" i="24"/>
  <c r="E52" i="24"/>
  <c r="G52" i="24" s="1"/>
  <c r="I52" i="24" s="1"/>
  <c r="E44" i="24"/>
  <c r="G44" i="24" s="1"/>
  <c r="I44" i="24" s="1"/>
  <c r="E63" i="24"/>
  <c r="I63" i="24" s="1"/>
  <c r="E94" i="24"/>
  <c r="G94" i="24" s="1"/>
  <c r="I94" i="24" s="1"/>
  <c r="E28" i="24"/>
  <c r="G28" i="24" s="1"/>
  <c r="I28" i="24" s="1"/>
  <c r="E37" i="24"/>
  <c r="G37" i="24" s="1"/>
  <c r="I37" i="24" s="1"/>
  <c r="E18" i="24"/>
  <c r="I18" i="24" s="1"/>
  <c r="E51" i="24"/>
  <c r="G51" i="24" s="1"/>
  <c r="I51" i="24" s="1"/>
  <c r="E30" i="24"/>
  <c r="G30" i="24" s="1"/>
  <c r="I30" i="24" s="1"/>
  <c r="E25" i="24"/>
  <c r="G25" i="24" s="1"/>
  <c r="I25" i="24" s="1"/>
  <c r="E45" i="24"/>
  <c r="I45" i="24" s="1"/>
  <c r="E54" i="24"/>
  <c r="G54" i="24" s="1"/>
  <c r="I54" i="24" s="1"/>
  <c r="E43" i="24"/>
  <c r="G43" i="24" s="1"/>
  <c r="I43" i="24" s="1"/>
  <c r="E23" i="24"/>
  <c r="G23" i="24" s="1"/>
  <c r="I23" i="24" s="1"/>
  <c r="C15" i="24"/>
  <c r="C27" i="24"/>
  <c r="C50" i="24"/>
  <c r="G76" i="3"/>
  <c r="G106" i="3"/>
  <c r="C16" i="24"/>
  <c r="C46" i="24"/>
  <c r="F60" i="3"/>
  <c r="C47" i="24"/>
  <c r="F82" i="3"/>
  <c r="G78" i="3"/>
  <c r="F73" i="3"/>
  <c r="G49" i="3"/>
  <c r="C78" i="24"/>
  <c r="F42" i="3"/>
  <c r="C35" i="24"/>
  <c r="F101" i="3"/>
  <c r="C71" i="24"/>
  <c r="M12" i="56" l="1"/>
  <c r="I97" i="24"/>
  <c r="G97" i="24"/>
  <c r="G21" i="24"/>
  <c r="I21" i="24" s="1"/>
  <c r="G69" i="24"/>
  <c r="G49" i="24"/>
  <c r="G12" i="24"/>
  <c r="I12" i="24" s="1"/>
  <c r="E32" i="24"/>
  <c r="C32" i="24"/>
  <c r="G17" i="24"/>
  <c r="G96" i="24"/>
  <c r="I96" i="24" s="1"/>
  <c r="F109" i="3"/>
  <c r="F113" i="3" s="1"/>
  <c r="M13" i="56" s="1"/>
  <c r="G50" i="24"/>
  <c r="G39" i="24"/>
  <c r="G70" i="24"/>
  <c r="G27" i="24"/>
  <c r="G91" i="24"/>
  <c r="G89" i="24"/>
  <c r="I89" i="24" s="1"/>
  <c r="G15" i="24"/>
  <c r="I15" i="24" s="1"/>
  <c r="G26" i="24"/>
  <c r="I26" i="24" s="1"/>
  <c r="G78" i="24"/>
  <c r="I78" i="24" s="1"/>
  <c r="G64" i="24"/>
  <c r="G36" i="24"/>
  <c r="G61" i="24"/>
  <c r="G110" i="24"/>
  <c r="I110" i="24" s="1"/>
  <c r="I38" i="24"/>
  <c r="G29" i="24"/>
  <c r="G77" i="24"/>
  <c r="I77" i="24" s="1"/>
  <c r="G18" i="24"/>
  <c r="G62" i="24"/>
  <c r="G104" i="24"/>
  <c r="G35" i="24"/>
  <c r="I35" i="24" s="1"/>
  <c r="G46" i="24"/>
  <c r="I46" i="24" s="1"/>
  <c r="E80" i="24"/>
  <c r="G79" i="24"/>
  <c r="I79" i="24" s="1"/>
  <c r="E40" i="24"/>
  <c r="G63" i="24"/>
  <c r="E71" i="24"/>
  <c r="G71" i="24" s="1"/>
  <c r="I71" i="24" s="1"/>
  <c r="I66" i="24"/>
  <c r="G45" i="24"/>
  <c r="E99" i="24"/>
  <c r="E107" i="24" s="1"/>
  <c r="E111" i="24" s="1"/>
  <c r="G105" i="24"/>
  <c r="E58" i="24"/>
  <c r="G16" i="24"/>
  <c r="I16" i="24" s="1"/>
  <c r="C58" i="24"/>
  <c r="G47" i="24"/>
  <c r="I47" i="24" s="1"/>
  <c r="F84" i="3"/>
  <c r="C40" i="24"/>
  <c r="L67" i="24" s="1"/>
  <c r="C80" i="24"/>
  <c r="C107" i="24"/>
  <c r="M15" i="56" l="1"/>
  <c r="M17" i="56"/>
  <c r="L53" i="24"/>
  <c r="M14" i="56"/>
  <c r="L13" i="24"/>
  <c r="L15" i="24"/>
  <c r="F115" i="3"/>
  <c r="L29" i="24"/>
  <c r="G99" i="24"/>
  <c r="I99" i="24" s="1"/>
  <c r="E82" i="24"/>
  <c r="G80" i="24"/>
  <c r="I80" i="24" s="1"/>
  <c r="E113" i="24"/>
  <c r="G58" i="24"/>
  <c r="I58" i="24" s="1"/>
  <c r="L19" i="24"/>
  <c r="L54" i="24"/>
  <c r="L27" i="24"/>
  <c r="L93" i="24"/>
  <c r="L47" i="24"/>
  <c r="L43" i="24"/>
  <c r="L45" i="24"/>
  <c r="L51" i="24"/>
  <c r="L56" i="24"/>
  <c r="L57" i="24"/>
  <c r="L18" i="24"/>
  <c r="L30" i="24"/>
  <c r="L44" i="24"/>
  <c r="G32" i="24"/>
  <c r="I32" i="24" s="1"/>
  <c r="L92" i="24"/>
  <c r="L90" i="24"/>
  <c r="L28" i="24"/>
  <c r="L46" i="24"/>
  <c r="L12" i="24"/>
  <c r="L31" i="24"/>
  <c r="L50" i="24"/>
  <c r="L48" i="24"/>
  <c r="L14" i="24"/>
  <c r="L88" i="24"/>
  <c r="L87" i="24"/>
  <c r="L23" i="24"/>
  <c r="L16" i="24"/>
  <c r="L95" i="24"/>
  <c r="L24" i="24"/>
  <c r="L104" i="24"/>
  <c r="L26" i="24"/>
  <c r="L98" i="24"/>
  <c r="L94" i="24"/>
  <c r="L25" i="24"/>
  <c r="L22" i="24"/>
  <c r="L49" i="24"/>
  <c r="L105" i="24"/>
  <c r="L20" i="24"/>
  <c r="L52" i="24"/>
  <c r="L102" i="24"/>
  <c r="L62" i="24"/>
  <c r="L38" i="24"/>
  <c r="L36" i="24"/>
  <c r="L64" i="24"/>
  <c r="L65" i="24"/>
  <c r="L39" i="24"/>
  <c r="L61" i="24"/>
  <c r="L35" i="24"/>
  <c r="G40" i="24"/>
  <c r="I40" i="24" s="1"/>
  <c r="C82" i="24"/>
  <c r="L70" i="24"/>
  <c r="L63" i="24"/>
  <c r="L37" i="24"/>
  <c r="L68" i="24"/>
  <c r="L66" i="24"/>
  <c r="C111" i="24"/>
  <c r="M16" i="56" s="1"/>
  <c r="G107" i="24"/>
  <c r="I107" i="24" s="1"/>
  <c r="M4" i="24" l="1"/>
  <c r="M47" i="56" s="1"/>
  <c r="G111" i="24"/>
  <c r="I111" i="24" s="1"/>
  <c r="C113"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Helen Vozzo</author>
    <author>tc={773A6C0F-4B6F-41B1-A89E-7FD25EDA34D4}</author>
    <author>tc={2CCE12BC-945E-40CD-A0A1-C7C5396CCD4A}</author>
    <author>tc={7A4B2186-F5EB-408C-B77B-1F98910CCA87}</author>
  </authors>
  <commentList>
    <comment ref="B15" authorId="0" shapeId="0" xr:uid="{00000000-0006-0000-0200-000001000000}">
      <text>
        <r>
          <rPr>
            <sz val="8"/>
            <color indexed="81"/>
            <rFont val="Tahoma"/>
            <family val="2"/>
          </rPr>
          <t xml:space="preserve">Added Pooled investments caption back for 2009; did not have in 2008 but did in prior years.  Rolls w/ investments for CAFR
</t>
        </r>
      </text>
    </comment>
    <comment ref="B31" authorId="0" shapeId="0" xr:uid="{00000000-0006-0000-0200-000002000000}">
      <text>
        <r>
          <rPr>
            <sz val="8"/>
            <color indexed="81"/>
            <rFont val="Tahoma"/>
            <family val="2"/>
          </rPr>
          <t xml:space="preserve">Added caption back for 2009, did not have for 2008, but did in prior years.  Rolls w/ Restricted investments for CAFR.
</t>
        </r>
      </text>
    </comment>
    <comment ref="B32" authorId="0" shapeId="0" xr:uid="{00000000-0006-0000-0200-000003000000}">
      <text>
        <r>
          <rPr>
            <b/>
            <sz val="8"/>
            <color indexed="81"/>
            <rFont val="Tahoma"/>
            <family val="2"/>
          </rPr>
          <t>New caption added for implementation of  GASB 53 Derivatives for FY 2010</t>
        </r>
        <r>
          <rPr>
            <sz val="8"/>
            <color indexed="81"/>
            <rFont val="Tahoma"/>
            <family val="2"/>
          </rPr>
          <t xml:space="preserve">
</t>
        </r>
      </text>
    </comment>
    <comment ref="B38" authorId="0" shapeId="0" xr:uid="{00000000-0006-0000-0200-000004000000}">
      <text>
        <r>
          <rPr>
            <sz val="8"/>
            <color indexed="81"/>
            <rFont val="Tahoma"/>
            <family val="2"/>
          </rPr>
          <t>Added caption back for 2009; did not have for 2008, but did in prior yrs. Rolls w/ Investmnts for CAFR</t>
        </r>
      </text>
    </comment>
    <comment ref="B52" authorId="0" shapeId="0" xr:uid="{00000000-0006-0000-0200-000005000000}">
      <text>
        <r>
          <rPr>
            <sz val="8"/>
            <color indexed="81"/>
            <rFont val="Tahoma"/>
            <family val="2"/>
          </rPr>
          <t xml:space="preserve">Added caption back for 2009, did not have in 2008 but did in prior years.  Rolls w/ Restricted investments for CAFR.
</t>
        </r>
      </text>
    </comment>
    <comment ref="B55" authorId="0" shapeId="0" xr:uid="{00000000-0006-0000-0200-000006000000}">
      <text>
        <r>
          <rPr>
            <b/>
            <sz val="8"/>
            <color indexed="81"/>
            <rFont val="Tahoma"/>
            <family val="2"/>
          </rPr>
          <t>New caption added for implementation of  GASB 53 Derivatives for FY 2010</t>
        </r>
        <r>
          <rPr>
            <sz val="8"/>
            <color indexed="81"/>
            <rFont val="Tahoma"/>
            <family val="2"/>
          </rPr>
          <t xml:space="preserve">
</t>
        </r>
      </text>
    </comment>
    <comment ref="B80" authorId="0" shapeId="0" xr:uid="{00000000-0006-0000-0200-000007000000}">
      <text>
        <r>
          <rPr>
            <sz val="8"/>
            <color indexed="81"/>
            <rFont val="Tahoma"/>
            <family val="2"/>
          </rPr>
          <t>Includes ST notes, revolving line of credit, commercial paper, anticipation notes.
Added caption for 2009</t>
        </r>
      </text>
    </comment>
    <comment ref="B87" authorId="0" shapeId="0" xr:uid="{00000000-0006-0000-0200-000008000000}">
      <text>
        <r>
          <rPr>
            <sz val="8"/>
            <color indexed="81"/>
            <rFont val="Tahoma"/>
            <family val="2"/>
          </rPr>
          <t>New caption for implementation of GASB 53 Derivatives for 2010</t>
        </r>
      </text>
    </comment>
    <comment ref="B105" authorId="0" shapeId="0" xr:uid="{00000000-0006-0000-0200-000009000000}">
      <text>
        <r>
          <rPr>
            <sz val="8"/>
            <color indexed="81"/>
            <rFont val="Tahoma"/>
            <family val="2"/>
          </rPr>
          <t xml:space="preserve">Added </t>
        </r>
        <r>
          <rPr>
            <u/>
            <sz val="8"/>
            <color indexed="81"/>
            <rFont val="Tahoma"/>
            <family val="2"/>
          </rPr>
          <t>Noncurrent</t>
        </r>
        <r>
          <rPr>
            <sz val="8"/>
            <color indexed="81"/>
            <rFont val="Tahoma"/>
            <family val="2"/>
          </rPr>
          <t xml:space="preserve"> unearned revenue for 2009; in prior yrs, only had Current unearned revenue caption 
</t>
        </r>
      </text>
    </comment>
    <comment ref="B108" authorId="0" shapeId="0" xr:uid="{00000000-0006-0000-0200-00000A000000}">
      <text>
        <r>
          <rPr>
            <sz val="8"/>
            <color indexed="81"/>
            <rFont val="Tahoma"/>
            <family val="2"/>
          </rPr>
          <t>New caption for implementation of GASB 53 Derivatives for 2010</t>
        </r>
      </text>
    </comment>
    <comment ref="B161" authorId="0" shapeId="0" xr:uid="{00000000-0006-0000-0200-00000B000000}">
      <text>
        <r>
          <rPr>
            <sz val="8"/>
            <color indexed="81"/>
            <rFont val="Tahoma"/>
            <family val="2"/>
          </rPr>
          <t>State aid-program includes clean water bond funds, funds from the State Escheats fund and the NC Education Lottery for higher education/scholarships, state tax credits, ARRA state fiscal stabilization funds, and funds from state agencies restricted for use in specific programs. However, this does not include state revenue that meets the definition for state capital aid.</t>
        </r>
      </text>
    </comment>
    <comment ref="B162" authorId="1" shapeId="0" xr:uid="{773A6C0F-4B6F-41B1-A89E-7FD25EDA34D4}">
      <text>
        <t>[Threaded comment]
Your version of Excel allows you to read this threaded comment; however, any edits to it will get removed if the file is opened in a newer version of Excel. Learn more: https://go.microsoft.com/fwlink/?linkid=870924
Comment:
    This account should only be used for entities receiving coronavirus relief funds or American Rescue Plan State Fiscal Recovery Funds DIRECTLY from OSBM.</t>
      </text>
    </comment>
    <comment ref="B164" authorId="2" shapeId="0" xr:uid="{2CCE12BC-945E-40CD-A0A1-C7C5396CCD4A}">
      <text>
        <t>[Threaded comment]
Your version of Excel allows you to read this threaded comment; however, any edits to it will get removed if the file is opened in a newer version of Excel. Learn more: https://go.microsoft.com/fwlink/?linkid=870924
Comment:
    This account will be used to break out federal aid received directly from federal agencies for Coronavirus (COVID-19) relief. This is NOT an account in NCAS; rather, entities should report nonoperating federal grants in the appropriate Noncapital Grant Revenue account during the year, and break out federal aid received due to coronavirus in this account for Annual Report presentation purposes.</t>
      </text>
    </comment>
    <comment ref="B166" authorId="3" shapeId="0" xr:uid="{7A4B2186-F5EB-408C-B77B-1F98910CCA87}">
      <text>
        <t>[Threaded comment]
Your version of Excel allows you to read this threaded comment; however, any edits to it will get removed if the file is opened in a newer version of Excel. Learn more: https://go.microsoft.com/fwlink/?linkid=870924
Comment:
    This is a new account caption for FY2021. Amounts in this caption should reflect the proportionate share of the State Health Plan's contribution to the Retiree Health Benefit Fund (RHBF) for employer participants.</t>
      </text>
    </comment>
    <comment ref="B167" authorId="0" shapeId="0" xr:uid="{00000000-0006-0000-0200-00000C000000}">
      <text>
        <r>
          <rPr>
            <sz val="8"/>
            <color indexed="81"/>
            <rFont val="Tahoma"/>
            <family val="2"/>
          </rPr>
          <t xml:space="preserve">State aid-general includes state appropriations and other state aid for general administration and operation of the agency. This should not include state revenues that meet the definitions for state capital aid or state aid-program.
</t>
        </r>
      </text>
    </comment>
    <comment ref="B179" authorId="0" shapeId="0" xr:uid="{00000000-0006-0000-0200-00000D000000}">
      <text>
        <r>
          <rPr>
            <sz val="8"/>
            <color indexed="81"/>
            <rFont val="Tahoma"/>
            <family val="2"/>
          </rPr>
          <t xml:space="preserve">State capital aid includes state capital appropriations, state capital contributions and state bond proceeds restricted for the acquisition, renovation or construction of capital assets owned by the agency.  This does not include capital grants from state agencies or other component units which would be classified in the capital grants caption.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Helen Vozzo</author>
    <author>tc={1C5D5037-6C67-4855-B233-E2EC34344011}</author>
    <author>tc={B274CB91-79F4-44AC-8210-B8B4D697A102}</author>
    <author>tc={7491FB9A-0948-4C95-9D19-5DEE80A5A4C1}</author>
  </authors>
  <commentList>
    <comment ref="B66" authorId="0" shapeId="0" xr:uid="{00000000-0006-0000-0400-000001000000}">
      <text>
        <r>
          <rPr>
            <sz val="8"/>
            <color indexed="81"/>
            <rFont val="Tahoma"/>
            <family val="2"/>
          </rPr>
          <t>New break-out for 2010. State aid-program includes clean water bond funds, funds from the State Escheats fund and the NC Education Lottery for higher education/scholarships, state tax credits, and funds from state agencies restricted for use in specific programs.  This includes ARRA state fiscal stabilization funds, and state revenues that may be used either for operating or capital expenditures of the program at the discretion of the agency.  However, this does not include state revenue that meets the definition for state capital aid.</t>
        </r>
      </text>
    </comment>
    <comment ref="B67" authorId="1" shapeId="0" xr:uid="{1C5D5037-6C67-4855-B233-E2EC34344011}">
      <text>
        <t>[Threaded comment]
Your version of Excel allows you to read this threaded comment; however, any edits to it will get removed if the file is opened in a newer version of Excel. Learn more: https://go.microsoft.com/fwlink/?linkid=870924
Comment:
    This account should only be used for entities receiving coronavirus relief funds or American Rescue Plan State Fiscal Recovery Funds DIRECTLY from OSBM.</t>
      </text>
    </comment>
    <comment ref="B68" authorId="0" shapeId="0" xr:uid="{00000000-0006-0000-0400-000002000000}">
      <text>
        <r>
          <rPr>
            <sz val="8"/>
            <color indexed="81"/>
            <rFont val="Tahoma"/>
            <family val="2"/>
          </rPr>
          <t xml:space="preserve">New break-out for 2010. State aid-general includes state appropriations for general administration and operation of the agency. This should not include state revenues that meet the definitions for state capital aid or state aid-program.
</t>
        </r>
      </text>
    </comment>
    <comment ref="B69" authorId="0" shapeId="0" xr:uid="{00000000-0006-0000-0400-000003000000}">
      <text>
        <r>
          <rPr>
            <sz val="8"/>
            <color indexed="81"/>
            <rFont val="Tahoma"/>
            <family val="2"/>
          </rPr>
          <t xml:space="preserve">State capital aid includes state capital appropriations, state capital contributions and state bond proceeds restricted for the acquisition, renovation or construction of capital assets owned by the agency.  This does not include capital grants from state agencies or other component units which would be classified in the capital grants caption.
</t>
        </r>
      </text>
    </comment>
    <comment ref="B71" authorId="2" shapeId="0" xr:uid="{B274CB91-79F4-44AC-8210-B8B4D697A102}">
      <text>
        <t>[Threaded comment]
Your version of Excel allows you to read this threaded comment; however, any edits to it will get removed if the file is opened in a newer version of Excel. Learn more: https://go.microsoft.com/fwlink/?linkid=870924
Comment:
    This is a new account caption for FY2021. Amounts in this caption should reflect the proportionate share of the State Health Plan's contribution to the Retiree Health Benefit Fund (RHBF) for employer participants.</t>
      </text>
    </comment>
    <comment ref="B72" authorId="3" shapeId="0" xr:uid="{7491FB9A-0948-4C95-9D19-5DEE80A5A4C1}">
      <text>
        <t>[Threaded comment]
Your version of Excel allows you to read this threaded comment; however, any edits to it will get removed if the file is opened in a newer version of Excel. Learn more: https://go.microsoft.com/fwlink/?linkid=870924
Comment:
    This account will be used to break out federal aid received directly from federal agencies for Coronavirus (COVID-19) relief. This is NOT an account in NCAS; rather, entities should report nonoperating federal grants in the appropriate Noncapital Grant Revenue account during the year, and break out federal aid received due to coronavirus in this account for Annual Report presentation purposes.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Helen Vozzo</author>
    <author>tc={E4F90271-ED4B-4703-9ED2-33878257FE6A}</author>
    <author>tc={B5AE72AD-0143-4E60-B165-E0F4DAF95098}</author>
  </authors>
  <commentList>
    <comment ref="B90" authorId="0" shapeId="0" xr:uid="{00000000-0006-0000-0500-000001000000}">
      <text>
        <r>
          <rPr>
            <sz val="8"/>
            <color indexed="81"/>
            <rFont val="Tahoma"/>
            <family val="2"/>
          </rPr>
          <t>State aid-program includes clean water bond funds, funds from the State Escheats fund and the NC Education Lottery for higher education/scholarships, state tax credits, ARRA state fiscal stabilization funds, and funds from state agencies restricted for use in specific programs. However, this does not include state revenue that meets the definition for state capital aid.</t>
        </r>
      </text>
    </comment>
    <comment ref="B91" authorId="1" shapeId="0" xr:uid="{E4F90271-ED4B-4703-9ED2-33878257FE6A}">
      <text>
        <t>[Threaded comment]
Your version of Excel allows you to read this threaded comment; however, any edits to it will get removed if the file is opened in a newer version of Excel. Learn more: https://go.microsoft.com/fwlink/?linkid=870924
Comment:
    This account should only be used for entities receiving coronavirus relief funds or American Rescue Plan State Fiscal Recovery Funds DIRECTLY from OSBM.</t>
      </text>
    </comment>
    <comment ref="B94" authorId="0" shapeId="0" xr:uid="{00000000-0006-0000-0500-000002000000}">
      <text>
        <r>
          <rPr>
            <sz val="8"/>
            <color indexed="81"/>
            <rFont val="Tahoma"/>
            <family val="2"/>
          </rPr>
          <t xml:space="preserve">State capital aid includes state capital appropriations, state capital contributions and state bond proceeds restricted for the acquisition, renovation or construction of capital assets owned by the agency.  This does not include capital grants from state agencies or other component units which would be classified in the capital grants caption.  
</t>
        </r>
      </text>
    </comment>
    <comment ref="B97" authorId="0" shapeId="0" xr:uid="{00000000-0006-0000-0500-000003000000}">
      <text>
        <r>
          <rPr>
            <sz val="8"/>
            <color indexed="81"/>
            <rFont val="Tahoma"/>
            <family val="2"/>
          </rPr>
          <t xml:space="preserve">State aid-general includes state appropriations and other state aid for general administration and operation of the agency. This should not include state revenues that meet the definitions for state capital aid or state aid-program.
</t>
        </r>
      </text>
    </comment>
    <comment ref="B98" authorId="2" shapeId="0" xr:uid="{B5AE72AD-0143-4E60-B165-E0F4DAF95098}">
      <text>
        <t>[Threaded comment]
Your version of Excel allows you to read this threaded comment; however, any edits to it will get removed if the file is opened in a newer version of Excel. Learn more: https://go.microsoft.com/fwlink/?linkid=870924
Comment:
    This is a new account caption for FY2021. Amounts in this caption should reflect the proportionate share of the State Health Plan's contribution to the Retiree Health Benefit Fund (RHBF) for employer participants.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Helen Vozzo</author>
  </authors>
  <commentList>
    <comment ref="A88" authorId="0" shapeId="0" xr:uid="{00000000-0006-0000-0600-000001000000}">
      <text>
        <r>
          <rPr>
            <sz val="8"/>
            <color indexed="81"/>
            <rFont val="Tahoma"/>
            <family val="2"/>
          </rPr>
          <t xml:space="preserve">State aid-program includes clean water bond funds, funds from the State Escheats fund and the NC Education Lottery for higher education/scholarships, state tax credits, and funds from state agencies restricted for use in specific programs.  This includes ARRA state fiscal stabilization funds, and state revenues that may be used either for operating or capital expenditures of the program at the discretion of the agency.  However, this does not include state revenue that meets the definition for state capital aid. 
</t>
        </r>
      </text>
    </comment>
    <comment ref="A92" authorId="0" shapeId="0" xr:uid="{00000000-0006-0000-0600-000002000000}">
      <text>
        <r>
          <rPr>
            <sz val="8"/>
            <color indexed="81"/>
            <rFont val="Tahoma"/>
            <family val="2"/>
          </rPr>
          <t xml:space="preserve">State capital aid includes state capital appropriations, state capital contributions and state bond proceeds restricted for the acquisition, renovation or construction of capital assets owned by the agency.  This does not include capital grants from state agencies or other component units which would be classified in the capital grants caption.  
</t>
        </r>
      </text>
    </comment>
    <comment ref="A95" authorId="0" shapeId="0" xr:uid="{00000000-0006-0000-0600-000003000000}">
      <text>
        <r>
          <rPr>
            <sz val="8"/>
            <color indexed="81"/>
            <rFont val="Tahoma"/>
            <family val="2"/>
          </rPr>
          <t xml:space="preserve">State aid-general includes state appropriations for general administration and operation of the agency. This should not include state revenues that meet the definitions for state capital aid or state aid-program.
</t>
        </r>
      </text>
    </comment>
    <comment ref="A96" authorId="0" shapeId="0" xr:uid="{5FA069BD-4129-42B1-A3BD-308C1FE0F923}">
      <text>
        <r>
          <rPr>
            <sz val="8"/>
            <color indexed="81"/>
            <rFont val="Tahoma"/>
            <family val="2"/>
          </rPr>
          <t xml:space="preserve">State aid-general includes state appropriations for general administration and operation of the agency. This should not include state revenues that meet the definitions for state capital aid or state aid-program.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Helen Vozzo</author>
  </authors>
  <commentList>
    <comment ref="A88" authorId="0" shapeId="0" xr:uid="{00000000-0006-0000-1C00-000001000000}">
      <text>
        <r>
          <rPr>
            <sz val="8"/>
            <color indexed="81"/>
            <rFont val="Tahoma"/>
            <family val="2"/>
          </rPr>
          <t xml:space="preserve">State aid-program includes clean water bond funds, funds from the State Escheats fund and the NC Education Lottery for higher education/scholarships, state tax credits, and funds from state agencies restricted for use in specific programs.  This includes ARRA state fiscal stabilization funds, and state revenues that may be used either for operating or capital expenditures of the program at the discretion of the agency.  However, this does not include state revenue that meets the definition for state capital aid. 
</t>
        </r>
      </text>
    </comment>
    <comment ref="A92" authorId="0" shapeId="0" xr:uid="{00000000-0006-0000-1C00-000002000000}">
      <text>
        <r>
          <rPr>
            <sz val="8"/>
            <color indexed="81"/>
            <rFont val="Tahoma"/>
            <family val="2"/>
          </rPr>
          <t xml:space="preserve">State capital aid includes state capital appropriations, state capital contributions and state bond proceeds restricted for the acquisition, renovation or construction of capital assets owned by the agency.  This does not include capital grants from state agencies or other component units which would be classified in the capital grants caption.  
</t>
        </r>
      </text>
    </comment>
    <comment ref="A95" authorId="0" shapeId="0" xr:uid="{00000000-0006-0000-1C00-000003000000}">
      <text>
        <r>
          <rPr>
            <sz val="8"/>
            <color indexed="81"/>
            <rFont val="Tahoma"/>
            <family val="2"/>
          </rPr>
          <t xml:space="preserve">State aid-general includes state appropriations for general administration and operation of the agency. This should not include state revenues that meet the definitions for state capital aid or state aid-program.
</t>
        </r>
      </text>
    </comment>
  </commentList>
</comments>
</file>

<file path=xl/sharedStrings.xml><?xml version="1.0" encoding="utf-8"?>
<sst xmlns="http://schemas.openxmlformats.org/spreadsheetml/2006/main" count="3446" uniqueCount="1583">
  <si>
    <t>Reporting</t>
  </si>
  <si>
    <t>Model</t>
  </si>
  <si>
    <t>Reporting model:</t>
  </si>
  <si>
    <t>Dates</t>
  </si>
  <si>
    <t>Fiscal Year End</t>
  </si>
  <si>
    <t>Fiscal Year Begin</t>
  </si>
  <si>
    <t>Last Fiscal Year End</t>
  </si>
  <si>
    <t>Next Fiscal Year Begin</t>
  </si>
  <si>
    <t>Next Fiscal Year End</t>
  </si>
  <si>
    <t>a</t>
  </si>
  <si>
    <t>b</t>
  </si>
  <si>
    <t>c</t>
  </si>
  <si>
    <t>d</t>
  </si>
  <si>
    <t>e</t>
  </si>
  <si>
    <t>f</t>
  </si>
  <si>
    <t>g</t>
  </si>
  <si>
    <t>h</t>
  </si>
  <si>
    <t>i</t>
  </si>
  <si>
    <t>j</t>
  </si>
  <si>
    <t xml:space="preserve"> </t>
  </si>
  <si>
    <t>GASB Fund No:</t>
  </si>
  <si>
    <t>All GASB Funds</t>
  </si>
  <si>
    <r>
      <t>Disclosure of material contingent liabilities of the State entity is required under the following conditions</t>
    </r>
    <r>
      <rPr>
        <sz val="10"/>
        <rFont val="Arial"/>
        <family val="2"/>
      </rPr>
      <t>:</t>
    </r>
  </si>
  <si>
    <t>3.  Material contingent liability is defined as $20 million or greater.</t>
  </si>
  <si>
    <t>FEDERAL GRANTS AND PROGRAMS</t>
  </si>
  <si>
    <t>Contingent liabilities of the State entity can arise from lawsuits and other legal action, or contingent liabilities may</t>
  </si>
  <si>
    <t>be inherent with the acceptance of the conditions of certain Federal programs.</t>
  </si>
  <si>
    <t>Acceptance by the State entity of Federal grants and programs carry the possibility of reimbursement to the</t>
  </si>
  <si>
    <t>AGENCY ACTION:</t>
  </si>
  <si>
    <t>This agency has material contingent liabilities involving Federal grants and programs.</t>
  </si>
  <si>
    <t>Yes</t>
  </si>
  <si>
    <t>No</t>
  </si>
  <si>
    <t>"questioned" or "disallowed" costs.</t>
  </si>
  <si>
    <t>Federal Agency:</t>
  </si>
  <si>
    <t>Program:</t>
  </si>
  <si>
    <t>FOOD STAMPS, FOOD COMMODITIES</t>
  </si>
  <si>
    <t>This agency maintains material items on a custodial basis for Federal programs.</t>
  </si>
  <si>
    <t>(i.e., Food Stamp coupons, USDA-donated commodities, etc.) for which the State would be liable in the event of loss.</t>
  </si>
  <si>
    <t>Description:</t>
  </si>
  <si>
    <t>Amount:</t>
  </si>
  <si>
    <t>OTHER CONTINGENT LIABILITIES</t>
  </si>
  <si>
    <t xml:space="preserve">List any other material contingent liabilities of your agency that require possible disclosure in accordance with the </t>
  </si>
  <si>
    <t>Answer the following:</t>
  </si>
  <si>
    <t>(check one)</t>
  </si>
  <si>
    <r>
      <t xml:space="preserve">Federal grantor agency if periodic audits reveal </t>
    </r>
    <r>
      <rPr>
        <b/>
        <sz val="10"/>
        <rFont val="Arial"/>
        <family val="2"/>
      </rPr>
      <t>questioned costs</t>
    </r>
    <r>
      <rPr>
        <sz val="10"/>
        <rFont val="Arial"/>
        <family val="2"/>
      </rPr>
      <t>.</t>
    </r>
  </si>
  <si>
    <r>
      <t xml:space="preserve">If </t>
    </r>
    <r>
      <rPr>
        <b/>
        <sz val="10"/>
        <rFont val="Arial"/>
        <family val="2"/>
      </rPr>
      <t>YES</t>
    </r>
    <r>
      <rPr>
        <sz val="10"/>
        <rFont val="Arial"/>
        <family val="2"/>
      </rPr>
      <t xml:space="preserve">, list any </t>
    </r>
    <r>
      <rPr>
        <b/>
        <sz val="10"/>
        <rFont val="Arial"/>
        <family val="2"/>
      </rPr>
      <t>material</t>
    </r>
    <r>
      <rPr>
        <sz val="10"/>
        <rFont val="Arial"/>
        <family val="2"/>
      </rPr>
      <t xml:space="preserve"> potential reimbursements involving Federal programs that have been identified as</t>
    </r>
  </si>
  <si>
    <r>
      <t xml:space="preserve">If </t>
    </r>
    <r>
      <rPr>
        <b/>
        <sz val="10"/>
        <rFont val="Arial"/>
        <family val="2"/>
      </rPr>
      <t>YES</t>
    </r>
    <r>
      <rPr>
        <sz val="10"/>
        <rFont val="Arial"/>
        <family val="2"/>
      </rPr>
      <t>, list the Federal programs in which the State has accepted custodial responsibility for certain items</t>
    </r>
  </si>
  <si>
    <r>
      <t>All material contingent liabilities of this agency, if any exist, have been disclosed above.</t>
    </r>
    <r>
      <rPr>
        <i/>
        <u/>
        <sz val="10"/>
        <rFont val="Arial"/>
        <family val="2"/>
      </rPr>
      <t/>
    </r>
  </si>
  <si>
    <r>
      <t xml:space="preserve">    This agency has </t>
    </r>
    <r>
      <rPr>
        <b/>
        <sz val="10"/>
        <rFont val="Arial"/>
        <family val="2"/>
      </rPr>
      <t>NO</t>
    </r>
    <r>
      <rPr>
        <sz val="10"/>
        <rFont val="Arial"/>
        <family val="2"/>
      </rPr>
      <t xml:space="preserve"> material contingent liabilities requiring disclosure</t>
    </r>
  </si>
  <si>
    <r>
      <t xml:space="preserve">    </t>
    </r>
    <r>
      <rPr>
        <b/>
        <sz val="10"/>
        <rFont val="Arial"/>
        <family val="2"/>
      </rPr>
      <t>YES</t>
    </r>
    <r>
      <rPr>
        <sz val="10"/>
        <rFont val="Arial"/>
        <family val="2"/>
      </rPr>
      <t>, all material contingent liabilities disclosures have been made on this worksheet</t>
    </r>
  </si>
  <si>
    <t>SUBSEQUENT EVENTS:</t>
  </si>
  <si>
    <t>•  Refer to the notes on each tab for further information and instructions.</t>
  </si>
  <si>
    <t>•  Please add any explanations of special situations on the "Explanations" tab so that we may update the template as needed.</t>
  </si>
  <si>
    <r>
      <t>•</t>
    </r>
    <r>
      <rPr>
        <sz val="12"/>
        <rFont val="Times New Roman"/>
        <family val="1"/>
      </rPr>
      <t xml:space="preserve">  To return to this index worksheet, click on the words "Office of the State Controller" at the top of any worksheet.</t>
    </r>
  </si>
  <si>
    <r>
      <t xml:space="preserve">•  </t>
    </r>
    <r>
      <rPr>
        <sz val="12"/>
        <rFont val="Times New Roman"/>
        <family val="1"/>
      </rPr>
      <t xml:space="preserve">To go directly to a specific worksheet, click on the corresponding link below.  </t>
    </r>
  </si>
  <si>
    <r>
      <t>•</t>
    </r>
    <r>
      <rPr>
        <sz val="12"/>
        <rFont val="Times New Roman"/>
        <family val="1"/>
      </rPr>
      <t xml:space="preserve">  To label a worksheet as "Not Applicable" (NA), enter "NA" in the NA column below.</t>
    </r>
  </si>
  <si>
    <t xml:space="preserve">Any transaction or event, the omission of which would produce a material misstatement of the </t>
  </si>
  <si>
    <t>Give a complete description of the transaction/event and the amount involved, if known.</t>
  </si>
  <si>
    <t>OTHER ITEMS:</t>
  </si>
  <si>
    <t xml:space="preserve">Such items would already be recorded as a revenue or expenditure on the Statement of Revenues, </t>
  </si>
  <si>
    <t>Expenditures, and Changes in Fund Balances (for governmental funds) or the Statement of Revenues,</t>
  </si>
  <si>
    <t>This agency has such items that exceed $10 million.</t>
  </si>
  <si>
    <r>
      <t xml:space="preserve">financial statements or would cause a reader of these statements to be misinformed, </t>
    </r>
    <r>
      <rPr>
        <b/>
        <sz val="10"/>
        <rFont val="Arial"/>
        <family val="2"/>
      </rPr>
      <t>MUST</t>
    </r>
    <r>
      <rPr>
        <sz val="10"/>
        <rFont val="Arial"/>
        <family val="2"/>
      </rPr>
      <t xml:space="preserve"> be disclosed.</t>
    </r>
  </si>
  <si>
    <r>
      <t xml:space="preserve">Any significant transactions or other events that are </t>
    </r>
    <r>
      <rPr>
        <b/>
        <u/>
        <sz val="10"/>
        <rFont val="Arial"/>
        <family val="2"/>
      </rPr>
      <t>either</t>
    </r>
    <r>
      <rPr>
        <sz val="10"/>
        <rFont val="Arial"/>
        <family val="2"/>
      </rPr>
      <t xml:space="preserve"> unusual </t>
    </r>
    <r>
      <rPr>
        <b/>
        <u/>
        <sz val="10"/>
        <rFont val="Arial"/>
        <family val="2"/>
      </rPr>
      <t>or</t>
    </r>
    <r>
      <rPr>
        <sz val="10"/>
        <rFont val="Arial"/>
        <family val="2"/>
      </rPr>
      <t xml:space="preserve"> infrequent but </t>
    </r>
    <r>
      <rPr>
        <b/>
        <u/>
        <sz val="10"/>
        <rFont val="Arial"/>
        <family val="2"/>
      </rPr>
      <t>not within the</t>
    </r>
    <r>
      <rPr>
        <sz val="10"/>
        <rFont val="Arial"/>
        <family val="2"/>
      </rPr>
      <t xml:space="preserve"> </t>
    </r>
  </si>
  <si>
    <r>
      <t>control of management</t>
    </r>
    <r>
      <rPr>
        <sz val="10"/>
        <rFont val="Arial"/>
        <family val="2"/>
      </rPr>
      <t xml:space="preserve"> that do not meet the definition of special items per paragraph 56 of GASB 34.</t>
    </r>
  </si>
  <si>
    <t>GASB</t>
  </si>
  <si>
    <t>Fund</t>
  </si>
  <si>
    <t>Explanation</t>
  </si>
  <si>
    <t>All Funds</t>
  </si>
  <si>
    <t>Complete the following schedule for any GASB fund that has restated fund equity.  The restated fund equity</t>
  </si>
  <si>
    <t>Other</t>
  </si>
  <si>
    <t>Fund Equity</t>
  </si>
  <si>
    <t>GASB No:</t>
  </si>
  <si>
    <t>Payor</t>
  </si>
  <si>
    <t>Payor Contact</t>
  </si>
  <si>
    <t xml:space="preserve">NCAS </t>
  </si>
  <si>
    <t>Account</t>
  </si>
  <si>
    <t>Amount</t>
  </si>
  <si>
    <t>Name</t>
  </si>
  <si>
    <t>Comments</t>
  </si>
  <si>
    <t>TOTAL</t>
  </si>
  <si>
    <t>If any of the balances listed above represent interfund loans, submit an explanation with this worksheet.</t>
  </si>
  <si>
    <t>Payee</t>
  </si>
  <si>
    <t>Payee Contact</t>
  </si>
  <si>
    <t>13</t>
  </si>
  <si>
    <t>41</t>
  </si>
  <si>
    <t>Restricted due from primary government (restricted for capital outlays)</t>
  </si>
  <si>
    <t>ZI</t>
  </si>
  <si>
    <t>Detailed Explanation</t>
  </si>
  <si>
    <t>DESCRIPTION</t>
  </si>
  <si>
    <t>AMOUNT</t>
  </si>
  <si>
    <t xml:space="preserve">   </t>
  </si>
  <si>
    <t>Please complete the following for each legally separate, tax exempt foundation or similarly affiliated</t>
  </si>
  <si>
    <t>Name of Not-For-Profit Organization</t>
  </si>
  <si>
    <t>1)  Total Assets</t>
  </si>
  <si>
    <t>2)  Total Liabilities</t>
  </si>
  <si>
    <t>3)  Total Equity</t>
  </si>
  <si>
    <t>4)  Total Revenues</t>
  </si>
  <si>
    <t>5)  Total Expenses</t>
  </si>
  <si>
    <t>6)  Fiscal Year-End Date (Month/Day)</t>
  </si>
  <si>
    <t>7)  Included with your agency's</t>
  </si>
  <si>
    <t xml:space="preserve">      financial statements (Y/N)?</t>
  </si>
  <si>
    <t>GASB Fund Name:</t>
  </si>
  <si>
    <t>Statement Caption</t>
  </si>
  <si>
    <t>Change $</t>
  </si>
  <si>
    <t>Description — Reason for Significant Change</t>
  </si>
  <si>
    <t>Current Assets:</t>
  </si>
  <si>
    <t xml:space="preserve">Cash and cash equivalents </t>
  </si>
  <si>
    <t xml:space="preserve">Short-term investments </t>
  </si>
  <si>
    <t xml:space="preserve">Restricted short-term investments </t>
  </si>
  <si>
    <t>Receivables:</t>
  </si>
  <si>
    <t>Accounts receivable, net</t>
  </si>
  <si>
    <t>Intergovernmental receivables</t>
  </si>
  <si>
    <t>Interest receivable</t>
  </si>
  <si>
    <t>Other receivables, net</t>
  </si>
  <si>
    <t>Due from State of NC component units</t>
  </si>
  <si>
    <t>Notes receivable</t>
  </si>
  <si>
    <t>Total Current Assets</t>
  </si>
  <si>
    <t>Noncurrent Assets:</t>
  </si>
  <si>
    <t xml:space="preserve">Restricted/designated cash and cash equivalents </t>
  </si>
  <si>
    <t>Restricted investments</t>
  </si>
  <si>
    <t>Restricted due from primary government</t>
  </si>
  <si>
    <t>Total Noncurrent Assets</t>
  </si>
  <si>
    <t>Total Assets</t>
  </si>
  <si>
    <t xml:space="preserve">LIABILITIES </t>
  </si>
  <si>
    <t>Current Liabilities:</t>
  </si>
  <si>
    <t>Accounts payable and accrued liabilities:</t>
  </si>
  <si>
    <t>Accrued payroll</t>
  </si>
  <si>
    <t>Intergovernmental payables</t>
  </si>
  <si>
    <t>Claims payable</t>
  </si>
  <si>
    <t>Other payables</t>
  </si>
  <si>
    <t>Due to State of NC component units</t>
  </si>
  <si>
    <t>Funds held for others</t>
  </si>
  <si>
    <t>Total Current Liabilities</t>
  </si>
  <si>
    <t>Noncurrent Liabilities:</t>
  </si>
  <si>
    <t>Advance from primary government</t>
  </si>
  <si>
    <t>Bonds payable, net</t>
  </si>
  <si>
    <t>Arbitrage rebate payable</t>
  </si>
  <si>
    <t>Total Noncurrent Liabilities</t>
  </si>
  <si>
    <t>Total Liabilities</t>
  </si>
  <si>
    <t xml:space="preserve">   Expendable:</t>
  </si>
  <si>
    <t xml:space="preserve">      Health and human services </t>
  </si>
  <si>
    <t xml:space="preserve">      Economic development </t>
  </si>
  <si>
    <t>Operating Revenues:</t>
  </si>
  <si>
    <t>Sales and services, net</t>
  </si>
  <si>
    <t>Federal grants and contracts</t>
  </si>
  <si>
    <t>State and local grants and contracts</t>
  </si>
  <si>
    <t>Nongovernmental grants and contracts</t>
  </si>
  <si>
    <t>Interest earnings on loans</t>
  </si>
  <si>
    <t>Rental and lease earnings</t>
  </si>
  <si>
    <t>Fees, licenses and fines</t>
  </si>
  <si>
    <t>Miscellaneous</t>
  </si>
  <si>
    <t>Total operating revenues</t>
  </si>
  <si>
    <t>Total operating expenses</t>
  </si>
  <si>
    <t>Operating income (loss)</t>
  </si>
  <si>
    <t>Noncapital grant revenue</t>
  </si>
  <si>
    <t>Noncapital gifts, net</t>
  </si>
  <si>
    <t>Gain on sale of property &amp; equipment</t>
  </si>
  <si>
    <t>Insurance recoveries</t>
  </si>
  <si>
    <t>Miscellaneous nonoperating revenue</t>
  </si>
  <si>
    <t>Total nonoperating revenues (expenses)</t>
  </si>
  <si>
    <t>Income before other revenues, expenses, gains, or losses</t>
  </si>
  <si>
    <t>Capital grants</t>
  </si>
  <si>
    <t>Capital gifts, net</t>
  </si>
  <si>
    <t>Special items</t>
  </si>
  <si>
    <t>Extraordinary items</t>
  </si>
  <si>
    <t>Difference</t>
  </si>
  <si>
    <t>% Diff</t>
  </si>
  <si>
    <t>Explanations</t>
  </si>
  <si>
    <t>GASB Fund No: All</t>
  </si>
  <si>
    <t>Wksht</t>
  </si>
  <si>
    <t>Your Comments and Suggestions</t>
  </si>
  <si>
    <t>All</t>
  </si>
  <si>
    <t>This sheet is optional but we encourage your participation.</t>
  </si>
  <si>
    <t>FASB</t>
  </si>
  <si>
    <t xml:space="preserve">The OSC is committed to improving our year end process.  We would appreciate any comments or </t>
  </si>
  <si>
    <t>suggestions you may have in this regard.  We will use this feedback as a quality tool to enhance</t>
  </si>
  <si>
    <t>the year end package for next year.  Thank you.</t>
  </si>
  <si>
    <t>Instructions and Index</t>
  </si>
  <si>
    <t>Header Information</t>
  </si>
  <si>
    <t>Preparer:</t>
  </si>
  <si>
    <t>Phone:</t>
  </si>
  <si>
    <t>General Instructions</t>
  </si>
  <si>
    <t>Index</t>
  </si>
  <si>
    <t>Sheet</t>
  </si>
  <si>
    <t>NA</t>
  </si>
  <si>
    <t>Worksheet Title</t>
  </si>
  <si>
    <t>Contingencies</t>
  </si>
  <si>
    <t>Subsequent Events/Other Items</t>
  </si>
  <si>
    <t>Schedule of Due to State of NC Component Units</t>
  </si>
  <si>
    <t>Agency name:</t>
  </si>
  <si>
    <t>Agency number:</t>
  </si>
  <si>
    <t>Health and human services</t>
  </si>
  <si>
    <t>Nonoperating Revenues:</t>
  </si>
  <si>
    <t>Total nonoperating revenue</t>
  </si>
  <si>
    <t>Statement of Activities</t>
  </si>
  <si>
    <t>Email:</t>
  </si>
  <si>
    <t>Property, plant, and equipment, net (include leased equip)</t>
  </si>
  <si>
    <t>Offline GASB Component Unit Financial Statements</t>
  </si>
  <si>
    <t>Net assets - beginning of year (per prior year template)</t>
  </si>
  <si>
    <r>
      <t xml:space="preserve">Property, plant, and equipment, net </t>
    </r>
    <r>
      <rPr>
        <vertAlign val="superscript"/>
        <sz val="8"/>
        <rFont val="Arial"/>
        <family val="2"/>
      </rPr>
      <t>(3)</t>
    </r>
  </si>
  <si>
    <r>
      <t xml:space="preserve">Unspent debt proceeds - notes </t>
    </r>
    <r>
      <rPr>
        <vertAlign val="superscript"/>
        <sz val="8"/>
        <rFont val="Arial"/>
        <family val="2"/>
      </rPr>
      <t>(5)</t>
    </r>
  </si>
  <si>
    <r>
      <t xml:space="preserve">Due from primary government </t>
    </r>
    <r>
      <rPr>
        <sz val="8"/>
        <rFont val="Arial"/>
        <family val="2"/>
      </rPr>
      <t xml:space="preserve">(i.e., State of NC) </t>
    </r>
  </si>
  <si>
    <r>
      <t>Due from State of North Carolina component units</t>
    </r>
    <r>
      <rPr>
        <vertAlign val="superscript"/>
        <sz val="8"/>
        <rFont val="Arial"/>
        <family val="2"/>
      </rPr>
      <t xml:space="preserve"> </t>
    </r>
  </si>
  <si>
    <r>
      <t>Receivables, net</t>
    </r>
    <r>
      <rPr>
        <b/>
        <vertAlign val="superscript"/>
        <sz val="8"/>
        <rFont val="Arial"/>
        <family val="2"/>
      </rPr>
      <t xml:space="preserve"> (2)</t>
    </r>
  </si>
  <si>
    <t>Due from State of North Carolina component units</t>
  </si>
  <si>
    <r>
      <t xml:space="preserve">Notes/loans receivable, net </t>
    </r>
    <r>
      <rPr>
        <b/>
        <vertAlign val="superscript"/>
        <sz val="8"/>
        <rFont val="Arial"/>
        <family val="2"/>
      </rPr>
      <t>(2)</t>
    </r>
  </si>
  <si>
    <r>
      <t xml:space="preserve">Analysis - GASB Format </t>
    </r>
    <r>
      <rPr>
        <b/>
        <u/>
        <vertAlign val="superscript"/>
        <sz val="9"/>
        <rFont val="Arial"/>
        <family val="2"/>
      </rPr>
      <t>(1)</t>
    </r>
  </si>
  <si>
    <t>Total net assets per Exhibit FASB_Stmts</t>
  </si>
  <si>
    <r>
      <t>A $</t>
    </r>
    <r>
      <rPr>
        <u/>
        <sz val="9"/>
        <rFont val="Arial"/>
        <family val="2"/>
      </rPr>
      <t>1 million threshold</t>
    </r>
    <r>
      <rPr>
        <sz val="9"/>
        <rFont val="Arial"/>
        <family val="2"/>
      </rPr>
      <t xml:space="preserve"> applies to amounts due from the State primary government or due from State</t>
    </r>
  </si>
  <si>
    <r>
      <t>A $</t>
    </r>
    <r>
      <rPr>
        <u/>
        <sz val="9"/>
        <rFont val="Arial"/>
        <family val="2"/>
      </rPr>
      <t>1 million threshold</t>
    </r>
    <r>
      <rPr>
        <sz val="9"/>
        <rFont val="Arial"/>
        <family val="2"/>
      </rPr>
      <t xml:space="preserve"> applies to amounts due to the State primary government or due to State</t>
    </r>
  </si>
  <si>
    <r>
      <t xml:space="preserve">Accounts payable and accrued expenses </t>
    </r>
    <r>
      <rPr>
        <b/>
        <vertAlign val="superscript"/>
        <sz val="8"/>
        <rFont val="Arial"/>
        <family val="2"/>
      </rPr>
      <t>(4)</t>
    </r>
  </si>
  <si>
    <t>Due to State of North Carolina component units</t>
  </si>
  <si>
    <r>
      <t xml:space="preserve">Grants and contracts payable </t>
    </r>
    <r>
      <rPr>
        <b/>
        <vertAlign val="superscript"/>
        <sz val="8"/>
        <rFont val="Arial"/>
        <family val="2"/>
      </rPr>
      <t>(4)</t>
    </r>
  </si>
  <si>
    <t>FASB_
Adj</t>
  </si>
  <si>
    <t>Pledges receivable</t>
  </si>
  <si>
    <t>Conc</t>
  </si>
  <si>
    <t>Co</t>
  </si>
  <si>
    <t>Offline FASB Component Unit Financial Statements - 
Statement of Net Assets &amp; Statement of Activities</t>
  </si>
  <si>
    <t>Z3</t>
  </si>
  <si>
    <t>NC Global TransPark Authority</t>
  </si>
  <si>
    <t>Z7</t>
  </si>
  <si>
    <t>NC Partnership for Children</t>
  </si>
  <si>
    <t>ZA</t>
  </si>
  <si>
    <t>NC State Ports Authority</t>
  </si>
  <si>
    <t>NC Railroad Company</t>
  </si>
  <si>
    <t>none</t>
  </si>
  <si>
    <t>Choose your agency:</t>
  </si>
  <si>
    <t>&lt;&lt;&lt; Click on the cell to see a list of agencies.</t>
  </si>
  <si>
    <t>Schedule of Due From / Restricted Due From Primary Government</t>
  </si>
  <si>
    <t>Schedule of Due To Primary Government</t>
  </si>
  <si>
    <t>Schedule of Advances</t>
  </si>
  <si>
    <t>Foundations Survey</t>
  </si>
  <si>
    <t>Exp</t>
  </si>
  <si>
    <t>Worksheet Explanations</t>
  </si>
  <si>
    <t>Agencies</t>
  </si>
  <si>
    <t>Cash and cash equivalents</t>
  </si>
  <si>
    <t>Investments</t>
  </si>
  <si>
    <t>Assets</t>
  </si>
  <si>
    <t>Total assets</t>
  </si>
  <si>
    <t>Total</t>
  </si>
  <si>
    <t>Accounts payable and accrued expenses</t>
  </si>
  <si>
    <t>Interest payable</t>
  </si>
  <si>
    <t>Deposits payable</t>
  </si>
  <si>
    <t>Notes payable</t>
  </si>
  <si>
    <t>Net Assets</t>
  </si>
  <si>
    <t>Unrestricted</t>
  </si>
  <si>
    <t>Total liabilities</t>
  </si>
  <si>
    <t>Total net assets</t>
  </si>
  <si>
    <t>Revenues</t>
  </si>
  <si>
    <t>Investment income</t>
  </si>
  <si>
    <t>Total revenues</t>
  </si>
  <si>
    <t>Expenses</t>
  </si>
  <si>
    <t>Total expenses</t>
  </si>
  <si>
    <t>Change in net assets</t>
  </si>
  <si>
    <t>Net assets - end of year</t>
  </si>
  <si>
    <t>Notes:</t>
  </si>
  <si>
    <t>Receivables, net</t>
  </si>
  <si>
    <t>Inventories</t>
  </si>
  <si>
    <t>Notes receivable, net</t>
  </si>
  <si>
    <t>ASSETS</t>
  </si>
  <si>
    <t>Capital assets, net</t>
  </si>
  <si>
    <t>Restricted for:</t>
  </si>
  <si>
    <t>LIABILITIES</t>
  </si>
  <si>
    <t>Accounts payable and accrued liabilities</t>
  </si>
  <si>
    <t>Current portion</t>
  </si>
  <si>
    <t>Noncurrent portion</t>
  </si>
  <si>
    <t>(Note: Should equal amount on Exhibit A)</t>
  </si>
  <si>
    <t>Prepaid items</t>
  </si>
  <si>
    <t>Capital assets - nondepreciable</t>
  </si>
  <si>
    <t>Capital assets - depreciable, net</t>
  </si>
  <si>
    <t>**</t>
  </si>
  <si>
    <t>(1)</t>
  </si>
  <si>
    <t>(2)</t>
  </si>
  <si>
    <t>See Adjustments tab for further breakdown.</t>
  </si>
  <si>
    <t>Office of the State Controller</t>
  </si>
  <si>
    <t>(3)</t>
  </si>
  <si>
    <t>Gain on sale of capital assets</t>
  </si>
  <si>
    <t>(4)</t>
  </si>
  <si>
    <t>Notes/loans receivable, net</t>
  </si>
  <si>
    <t>Net realized/unrealized gains (losses) on investments</t>
  </si>
  <si>
    <t>Other Information</t>
  </si>
  <si>
    <t>(Assets minus liabilities equals net assets)</t>
  </si>
  <si>
    <t>Due within one year</t>
  </si>
  <si>
    <t>Long-term liabilities:</t>
  </si>
  <si>
    <t>Due in more than one year</t>
  </si>
  <si>
    <t>Number</t>
  </si>
  <si>
    <t>Agency</t>
  </si>
  <si>
    <t>Restatements</t>
  </si>
  <si>
    <t xml:space="preserve">Notes payable - capital </t>
  </si>
  <si>
    <t>Notes payable - noncapital</t>
  </si>
  <si>
    <t>Amount of unspent proceeds - capital debt</t>
  </si>
  <si>
    <t>Amount of unspent proceeds - noncapital debt</t>
  </si>
  <si>
    <t>Less: Notes payable - capital</t>
  </si>
  <si>
    <t>Add:  Amount of unspent proceeds - capital debt</t>
  </si>
  <si>
    <t>(5)</t>
  </si>
  <si>
    <t>Unearned revenue</t>
  </si>
  <si>
    <t>Less: Restricted property/equipment, nondepreciable</t>
  </si>
  <si>
    <t>Less: Restricted property/equipment, depreciable, net</t>
  </si>
  <si>
    <t>Unrestricted property/equipment, nondepreciable</t>
  </si>
  <si>
    <t>Restricted property/equipment, nondepreciable</t>
  </si>
  <si>
    <t>Unrestricted property/equipment, depreciable, net</t>
  </si>
  <si>
    <t>Restricted property/equipment, depreciable, net</t>
  </si>
  <si>
    <t>"Unrestricted" under the FASB 117 model).</t>
  </si>
  <si>
    <t>Property and equipment should be broken down between amounts that are included in unrestricted net</t>
  </si>
  <si>
    <t>sheet.  FASB 116 allows not-for-profits the option of recording gifts of capital assets as either unrestricted</t>
  </si>
  <si>
    <t>or temporarily restricted (Note: Under the temporarily restricted option, capital assets are reclassified to</t>
  </si>
  <si>
    <t>unrestricted as the asset is depreciated or over the term of the restriction, if shorter).  This breakdown is</t>
  </si>
  <si>
    <t>Prepaid expenses and other assets</t>
  </si>
  <si>
    <t>Accrued vacation</t>
  </si>
  <si>
    <t>Deposits</t>
  </si>
  <si>
    <t>Series B preferred stock subject to mandatory redemption</t>
  </si>
  <si>
    <t>Common stock</t>
  </si>
  <si>
    <t>Additional paid-in-capital</t>
  </si>
  <si>
    <t>Retained deficit</t>
  </si>
  <si>
    <t>Security deposits</t>
  </si>
  <si>
    <t>Other income</t>
  </si>
  <si>
    <t>Indirect cost reimbursement</t>
  </si>
  <si>
    <t>Hamner Conference Center</t>
  </si>
  <si>
    <t>Lease of roadway and land</t>
  </si>
  <si>
    <t>Other lease income</t>
  </si>
  <si>
    <t>Grants, gifts, contributions, and contract revenues</t>
  </si>
  <si>
    <t>All other receivables, net</t>
  </si>
  <si>
    <t>ZH</t>
  </si>
  <si>
    <t>All other grants and contracts payables</t>
  </si>
  <si>
    <t>All other accounts payables and accrued expenses</t>
  </si>
  <si>
    <t>State capital aid</t>
  </si>
  <si>
    <t>Liabilities</t>
  </si>
  <si>
    <t>The "Analysis - GASB Format" section provides additional details that are necessary to convert the</t>
  </si>
  <si>
    <t>assets and amounts that are included in temporarily restricted net assets on the entity's balance</t>
  </si>
  <si>
    <t>Include the unspent debt proceeds related to outstanding capital and noncapital debt as of June 30.</t>
  </si>
  <si>
    <t>As required by GASB 34, paragraph 33, the unspent portion of notes payable should reduce the</t>
  </si>
  <si>
    <t>unspent capital debt proceeds at year-end, the portion of the debt attributable to the unspent proceeds</t>
  </si>
  <si>
    <t>Automatic Calculations - GASB 34 Categories</t>
  </si>
  <si>
    <t>All other notes/loans receivables, net</t>
  </si>
  <si>
    <t>of North Carolina component units.  Balances equal to or in excess of the threshold should be recorded</t>
  </si>
  <si>
    <t>as "Due from primary government" or "Due from State of North Carolina component units" as appropriate.</t>
  </si>
  <si>
    <t>Component Units", regardless of amount.</t>
  </si>
  <si>
    <t>Balances below the threshold should be recorded as other receivables, with one exception.  Balances</t>
  </si>
  <si>
    <t xml:space="preserve">due from the Golden LEAF Foundation should be recorded as "Due from State of North Carolina </t>
  </si>
  <si>
    <t>as "Due to primary government" or "Due to State of North Carolina component units" as appropriate.</t>
  </si>
  <si>
    <t>Restricted/designated cash and cash equivalents</t>
  </si>
  <si>
    <t>Due from primary government</t>
  </si>
  <si>
    <t>Due to primary government</t>
  </si>
  <si>
    <t>Capital contribution related to capital improvement project</t>
  </si>
  <si>
    <t>N.C. Railroad Company Only:</t>
  </si>
  <si>
    <t xml:space="preserve">component units are reported in the State's government-wide financial statements, which include a </t>
  </si>
  <si>
    <t>(GASB Comprehensive Implementation Guide - 2007, question 2.4.2).  The State's discretely presented</t>
  </si>
  <si>
    <r>
      <t>Note</t>
    </r>
    <r>
      <rPr>
        <sz val="10"/>
        <rFont val="Arial"/>
        <family val="2"/>
      </rPr>
      <t>: Generally, a statement of cash flows is not required for discretely presented component units.</t>
    </r>
  </si>
  <si>
    <t>financial statements of FASB component units from the FASB format to the GASB 34 format.</t>
  </si>
  <si>
    <t>Economic development</t>
  </si>
  <si>
    <t>Charges for services</t>
  </si>
  <si>
    <t>Operating grants and contributions</t>
  </si>
  <si>
    <t>Other capital grants and contributions</t>
  </si>
  <si>
    <t>Noncapital grants and gifts</t>
  </si>
  <si>
    <t>Miscellaneous general</t>
  </si>
  <si>
    <t>Dividends (enter as positive number)</t>
  </si>
  <si>
    <t>Agency No:</t>
  </si>
  <si>
    <t>Agency Name:</t>
  </si>
  <si>
    <t>Preparer/Phone:</t>
  </si>
  <si>
    <t>GASB Fund No.:</t>
  </si>
  <si>
    <t>Variances</t>
  </si>
  <si>
    <t>Other assets</t>
  </si>
  <si>
    <t>Grants and contracts payable</t>
  </si>
  <si>
    <t>Enter preparer name, email and phone number below:</t>
  </si>
  <si>
    <r>
      <t>SURVEY</t>
    </r>
    <r>
      <rPr>
        <b/>
        <sz val="10"/>
        <rFont val="Arial"/>
        <family val="2"/>
      </rPr>
      <t xml:space="preserve"> </t>
    </r>
  </si>
  <si>
    <t>Fiscal year End</t>
  </si>
  <si>
    <t xml:space="preserve">      Total liabilities</t>
  </si>
  <si>
    <t xml:space="preserve">       Total assets</t>
  </si>
  <si>
    <t>Revenues:</t>
  </si>
  <si>
    <t>Expenses:</t>
  </si>
  <si>
    <t>Thresholds:</t>
  </si>
  <si>
    <t>Percent change</t>
  </si>
  <si>
    <t>$ value of change</t>
  </si>
  <si>
    <t>Number of comments</t>
  </si>
  <si>
    <t>C=COMMENT</t>
  </si>
  <si>
    <t>Obligations under reverse repurchase agreements</t>
  </si>
  <si>
    <t>Higher education</t>
  </si>
  <si>
    <t xml:space="preserve">      Higher education </t>
  </si>
  <si>
    <t xml:space="preserve">Analytical Review </t>
  </si>
  <si>
    <r>
      <t>•</t>
    </r>
    <r>
      <rPr>
        <sz val="12"/>
        <rFont val="Times New Roman"/>
        <family val="1"/>
      </rPr>
      <t xml:space="preserve">  </t>
    </r>
    <r>
      <rPr>
        <b/>
        <sz val="12"/>
        <rFont val="Times New Roman"/>
        <family val="1"/>
      </rPr>
      <t>All worksheets must be completed or marked NA on the table below to account for all and ensure the package is complete.</t>
    </r>
  </si>
  <si>
    <t>Significant Transactions Between Component Units</t>
  </si>
  <si>
    <t>Total nonoperating expenses</t>
  </si>
  <si>
    <t>Schedule of Due from / Restricted Due From State of NC Component Units</t>
  </si>
  <si>
    <t>Restricted due from State of NC component units</t>
  </si>
  <si>
    <t>Restricted due from State of NC comp units (restricted for cap outlays)</t>
  </si>
  <si>
    <t>Pollution remediation payable</t>
  </si>
  <si>
    <t>Offline</t>
  </si>
  <si>
    <t>North Carolina General Assembly</t>
  </si>
  <si>
    <t>PG</t>
  </si>
  <si>
    <t>NCAS</t>
  </si>
  <si>
    <t>Administrative Office of the Courts</t>
  </si>
  <si>
    <t>Office of the Governor</t>
  </si>
  <si>
    <t>Office of Lieutenant Governor</t>
  </si>
  <si>
    <t>Office of the Secretary of State</t>
  </si>
  <si>
    <t>Office of the State Auditor</t>
  </si>
  <si>
    <t xml:space="preserve">Department of the State Treasurer </t>
  </si>
  <si>
    <t xml:space="preserve">Department of Public Instruction </t>
  </si>
  <si>
    <t xml:space="preserve">Department of Justice </t>
  </si>
  <si>
    <t>Department of Agriculture</t>
  </si>
  <si>
    <t>CU-Nonmajor</t>
  </si>
  <si>
    <t>Department of Labor</t>
  </si>
  <si>
    <t xml:space="preserve">Department of Insurance </t>
  </si>
  <si>
    <t xml:space="preserve">Department of Administration </t>
  </si>
  <si>
    <t xml:space="preserve">Office of the State Controller </t>
  </si>
  <si>
    <t>Department of Transportation</t>
  </si>
  <si>
    <t>Wildlife Resources Commission</t>
  </si>
  <si>
    <t>2X</t>
  </si>
  <si>
    <t>Dept. of Health and Human Services</t>
  </si>
  <si>
    <t>3X</t>
  </si>
  <si>
    <t>DHHS - Mental Health</t>
  </si>
  <si>
    <t>Department of Commerce</t>
  </si>
  <si>
    <t>Department of Revenue</t>
  </si>
  <si>
    <t>UNC Hospitals</t>
  </si>
  <si>
    <t>CU-UNC</t>
  </si>
  <si>
    <t>2631 &amp; 2634</t>
  </si>
  <si>
    <t>48E</t>
  </si>
  <si>
    <t>UNC Hospitals - Enterprise Fund</t>
  </si>
  <si>
    <t>48L</t>
  </si>
  <si>
    <t>UNC Hospitals - LITF</t>
  </si>
  <si>
    <t>48R</t>
  </si>
  <si>
    <t>Rex Healthcare</t>
  </si>
  <si>
    <t>Community College System Office</t>
  </si>
  <si>
    <t>State Board of Elections</t>
  </si>
  <si>
    <t>61</t>
  </si>
  <si>
    <t>NC Education Lottery</t>
  </si>
  <si>
    <t>Office of Administrative Hearings</t>
  </si>
  <si>
    <t>69</t>
  </si>
  <si>
    <t>USS North Carolina Battleship Comm.</t>
  </si>
  <si>
    <t>NC School of Science &amp; Mathematics</t>
  </si>
  <si>
    <t>4XXX</t>
  </si>
  <si>
    <t>0A</t>
  </si>
  <si>
    <t>90</t>
  </si>
  <si>
    <t>General Fund - OSC</t>
  </si>
  <si>
    <t>99</t>
  </si>
  <si>
    <t>General Fund - DOR</t>
  </si>
  <si>
    <t>RX</t>
  </si>
  <si>
    <t>OSC-Central Accounts</t>
  </si>
  <si>
    <t>U10</t>
  </si>
  <si>
    <t>UNC-General Administration</t>
  </si>
  <si>
    <t>U20</t>
  </si>
  <si>
    <t>UNC at Chapel Hill</t>
  </si>
  <si>
    <t>U30</t>
  </si>
  <si>
    <t>North Carolina State University</t>
  </si>
  <si>
    <t>U40</t>
  </si>
  <si>
    <t>UNC at Greensboro</t>
  </si>
  <si>
    <t>U50</t>
  </si>
  <si>
    <t>UNC at Charlotte</t>
  </si>
  <si>
    <t>U55</t>
  </si>
  <si>
    <t>UNC at Asheville</t>
  </si>
  <si>
    <t>U60</t>
  </si>
  <si>
    <t>UNC at Wilmington</t>
  </si>
  <si>
    <t>U65</t>
  </si>
  <si>
    <t>East Carolina University</t>
  </si>
  <si>
    <t>U70</t>
  </si>
  <si>
    <t>U75</t>
  </si>
  <si>
    <t>Western Carolina University</t>
  </si>
  <si>
    <t>U80</t>
  </si>
  <si>
    <t>Appalachian State University</t>
  </si>
  <si>
    <t>U82</t>
  </si>
  <si>
    <t>UNC at Pembroke</t>
  </si>
  <si>
    <t>U84</t>
  </si>
  <si>
    <t>Winston-Salem State University</t>
  </si>
  <si>
    <t>U86</t>
  </si>
  <si>
    <t>Elizabeth City State University</t>
  </si>
  <si>
    <t>U88</t>
  </si>
  <si>
    <t>Fayetteville State University</t>
  </si>
  <si>
    <t>U90</t>
  </si>
  <si>
    <t>North Carolina Central University</t>
  </si>
  <si>
    <t>U92</t>
  </si>
  <si>
    <t>UNC School of the Arts</t>
  </si>
  <si>
    <t>ZB</t>
  </si>
  <si>
    <t>State Education Assistance Authority</t>
  </si>
  <si>
    <t>The Golden LEAF, Inc.</t>
  </si>
  <si>
    <t>C0</t>
  </si>
  <si>
    <t>Alamance Community College</t>
  </si>
  <si>
    <t>CU-CC</t>
  </si>
  <si>
    <t>C2</t>
  </si>
  <si>
    <t>Asheville-Buncombe Technical Community College</t>
  </si>
  <si>
    <t>C3</t>
  </si>
  <si>
    <t>Beaufort County Community College</t>
  </si>
  <si>
    <t>C4</t>
  </si>
  <si>
    <t>Bladen Community College</t>
  </si>
  <si>
    <t>C5</t>
  </si>
  <si>
    <t>Blue Ridge Community College</t>
  </si>
  <si>
    <t>C6</t>
  </si>
  <si>
    <t>Brunswick Community College</t>
  </si>
  <si>
    <t>C7</t>
  </si>
  <si>
    <t>Caldwell Community College and Technical Institute</t>
  </si>
  <si>
    <t>C8</t>
  </si>
  <si>
    <t>Cape Fear Community College</t>
  </si>
  <si>
    <t>C9</t>
  </si>
  <si>
    <t>Carteret Community College</t>
  </si>
  <si>
    <t>CC</t>
  </si>
  <si>
    <t>CD</t>
  </si>
  <si>
    <t>Cleveland Community College</t>
  </si>
  <si>
    <t>CE</t>
  </si>
  <si>
    <t>Coastal Carolina Community College</t>
  </si>
  <si>
    <t>CF</t>
  </si>
  <si>
    <t>College of the Albemarle</t>
  </si>
  <si>
    <t>CG</t>
  </si>
  <si>
    <t>Craven Community College</t>
  </si>
  <si>
    <t>CH</t>
  </si>
  <si>
    <t>Davidson County Community College</t>
  </si>
  <si>
    <t>CJ</t>
  </si>
  <si>
    <t>Durham Technical Community College</t>
  </si>
  <si>
    <t>CN</t>
  </si>
  <si>
    <t>Gaston College</t>
  </si>
  <si>
    <t>CP</t>
  </si>
  <si>
    <t>Guilford Technical Community College</t>
  </si>
  <si>
    <t>CQ</t>
  </si>
  <si>
    <t>Halifax Community College</t>
  </si>
  <si>
    <t>CR</t>
  </si>
  <si>
    <t>Haywood Community College</t>
  </si>
  <si>
    <t>CS</t>
  </si>
  <si>
    <t>Isothermal Community College</t>
  </si>
  <si>
    <t>CT</t>
  </si>
  <si>
    <t>James Sprunt Community College</t>
  </si>
  <si>
    <t>CU</t>
  </si>
  <si>
    <t>Johnston Community College</t>
  </si>
  <si>
    <t>CV</t>
  </si>
  <si>
    <t>Lenoir Community College</t>
  </si>
  <si>
    <t>CX</t>
  </si>
  <si>
    <t>Mayland Community College</t>
  </si>
  <si>
    <t>CY</t>
  </si>
  <si>
    <t>McDowell Technical Community College</t>
  </si>
  <si>
    <t>CZ</t>
  </si>
  <si>
    <t>Mitchell Community College</t>
  </si>
  <si>
    <t>D0</t>
  </si>
  <si>
    <t>Montgomery Community College</t>
  </si>
  <si>
    <t>D1</t>
  </si>
  <si>
    <t>Nash Community College</t>
  </si>
  <si>
    <t>D2</t>
  </si>
  <si>
    <t>Pamlico Community College</t>
  </si>
  <si>
    <t>D3</t>
  </si>
  <si>
    <t>Piedmont Community College</t>
  </si>
  <si>
    <t>D4</t>
  </si>
  <si>
    <t>Pitt Community College</t>
  </si>
  <si>
    <t>D5</t>
  </si>
  <si>
    <t>Randolph Community College</t>
  </si>
  <si>
    <t>D7</t>
  </si>
  <si>
    <t>Roanoke-Chowan Community College</t>
  </si>
  <si>
    <t>D8</t>
  </si>
  <si>
    <t>Robeson Community College</t>
  </si>
  <si>
    <t>D9</t>
  </si>
  <si>
    <t>Rockingham Community College</t>
  </si>
  <si>
    <t>DA</t>
  </si>
  <si>
    <t>Rowan-Cabarrus Community College</t>
  </si>
  <si>
    <t>DB</t>
  </si>
  <si>
    <t>Sampson Community College</t>
  </si>
  <si>
    <t>DC</t>
  </si>
  <si>
    <t>Sandhills Community College</t>
  </si>
  <si>
    <t>C1</t>
  </si>
  <si>
    <t>South Piedmont Community College</t>
  </si>
  <si>
    <t>DD</t>
  </si>
  <si>
    <t>Southeastern Community College</t>
  </si>
  <si>
    <t>DE</t>
  </si>
  <si>
    <t>Southwestern Community College</t>
  </si>
  <si>
    <t>DG</t>
  </si>
  <si>
    <t>Surry Community College</t>
  </si>
  <si>
    <t>DH</t>
  </si>
  <si>
    <t>Tri-County Community College</t>
  </si>
  <si>
    <t>DJ</t>
  </si>
  <si>
    <t>Vance-Granville Community College</t>
  </si>
  <si>
    <t>DK</t>
  </si>
  <si>
    <t>Wake Technical Community College</t>
  </si>
  <si>
    <t>DL</t>
  </si>
  <si>
    <t>Wayne Community College</t>
  </si>
  <si>
    <t>DM</t>
  </si>
  <si>
    <t>Western Piedmont Community College</t>
  </si>
  <si>
    <t>DN</t>
  </si>
  <si>
    <t>Wilkes Community College</t>
  </si>
  <si>
    <t>DP</t>
  </si>
  <si>
    <t>Wilson Community College</t>
  </si>
  <si>
    <t>**    Type of Agency:</t>
  </si>
  <si>
    <t>Component Unit</t>
  </si>
  <si>
    <t>UNC</t>
  </si>
  <si>
    <t>UNC System, major component unit</t>
  </si>
  <si>
    <t>Community College, major component unit</t>
  </si>
  <si>
    <t>Agency Name</t>
  </si>
  <si>
    <t>All Agencies</t>
  </si>
  <si>
    <t xml:space="preserve">List of All Agencies included in the State of NC Reporting Entity </t>
  </si>
  <si>
    <t xml:space="preserve">Pooled investments </t>
  </si>
  <si>
    <t>Restricted pooled investments</t>
  </si>
  <si>
    <t xml:space="preserve">Investments </t>
  </si>
  <si>
    <t xml:space="preserve">Restricted investments </t>
  </si>
  <si>
    <t xml:space="preserve">Accounts payable </t>
  </si>
  <si>
    <t>Bonds payable, net-current</t>
  </si>
  <si>
    <t>Arbitrage rebate payable-current</t>
  </si>
  <si>
    <t>Pollution remediation payable-current</t>
  </si>
  <si>
    <t>Short-term debt</t>
  </si>
  <si>
    <t>NC Global TransPark Auth Foundation</t>
  </si>
  <si>
    <t>Z3F</t>
  </si>
  <si>
    <t>48C</t>
  </si>
  <si>
    <t>Z2</t>
  </si>
  <si>
    <t>NC Biotechnology Center</t>
  </si>
  <si>
    <r>
      <t xml:space="preserve">Offline </t>
    </r>
    <r>
      <rPr>
        <b/>
        <sz val="12"/>
        <color indexed="12"/>
        <rFont val="Arial"/>
        <family val="2"/>
      </rPr>
      <t>FASB</t>
    </r>
    <r>
      <rPr>
        <b/>
        <sz val="12"/>
        <rFont val="Arial"/>
        <family val="2"/>
      </rPr>
      <t xml:space="preserve"> Component Unit Financial Statements</t>
    </r>
  </si>
  <si>
    <t>Other Expenses</t>
  </si>
  <si>
    <t>(6)</t>
  </si>
  <si>
    <t>The Office of State Controller will use this data to record an elimination entry at the statewide level when the</t>
  </si>
  <si>
    <t xml:space="preserve">for leases, etc,  that the TransPark has recorded as revenue.  </t>
  </si>
  <si>
    <t>Global TransPark Foundation only:  Analysis of Expenses for Elimination Data</t>
  </si>
  <si>
    <r>
      <t xml:space="preserve">Expenses paid by Foundation, recorded by TransPark as revenue </t>
    </r>
    <r>
      <rPr>
        <vertAlign val="superscript"/>
        <sz val="8"/>
        <rFont val="Arial"/>
        <family val="2"/>
      </rPr>
      <t>(6)</t>
    </r>
  </si>
  <si>
    <t>(Note: Should equal amount on Stmt of Net Assets)</t>
  </si>
  <si>
    <t>(Note: Should equal amount on Stmnt of Activities)</t>
  </si>
  <si>
    <t xml:space="preserve">    Total Expenses</t>
  </si>
  <si>
    <t xml:space="preserve">Analyze expenses. Show break-out of expenses paid by the Foundation on behalf of the TransPark </t>
  </si>
  <si>
    <r>
      <t xml:space="preserve">Offline </t>
    </r>
    <r>
      <rPr>
        <b/>
        <sz val="12"/>
        <color indexed="12"/>
        <rFont val="Arial"/>
        <family val="2"/>
      </rPr>
      <t>FASB</t>
    </r>
    <r>
      <rPr>
        <b/>
        <sz val="12"/>
        <rFont val="Arial"/>
        <family val="2"/>
      </rPr>
      <t xml:space="preserve"> Component Unit Adjustments</t>
    </r>
  </si>
  <si>
    <t>Chatham Hospital</t>
  </si>
  <si>
    <t>Note: Please do not key to this worksheet; it is formula-driven to populate from the GASB or FASB Stmts</t>
  </si>
  <si>
    <t>If your separately issued Statement of Net Assets includes more than one column, key the amounts from the total column.</t>
  </si>
  <si>
    <t>*</t>
  </si>
  <si>
    <t>Statement of Net Assets *</t>
  </si>
  <si>
    <t>If your separately issued Statement of Activities includes more than one column, key the amounts from the "Total" column.</t>
  </si>
  <si>
    <t xml:space="preserve">Also, if separate sections are presented for "Changes in unrestricted net assets", "Changes in temporarily restricted net assets", </t>
  </si>
  <si>
    <t>and "Changes in permanently restricted net assets", the amounts from each section should be added together.</t>
  </si>
  <si>
    <t>Statement of Activities  *</t>
  </si>
  <si>
    <t>State aid - program</t>
  </si>
  <si>
    <t>State aid - general</t>
  </si>
  <si>
    <t>Capital grants and gifts</t>
  </si>
  <si>
    <t>Revenue provided by the state, restricted for use in specific programs and initiatives, other than for capital purposes.</t>
  </si>
  <si>
    <t xml:space="preserve">State appropriations for general administration and operation of the agency.  </t>
  </si>
  <si>
    <r>
      <t xml:space="preserve">State capital appropriations, state </t>
    </r>
    <r>
      <rPr>
        <i/>
        <sz val="8"/>
        <color indexed="62"/>
        <rFont val="Arial"/>
        <family val="2"/>
      </rPr>
      <t>capital contributions, and state bond proceeds, restricted for capital purposes.</t>
    </r>
  </si>
  <si>
    <t xml:space="preserve">total should agree to the amount on the operating statement. </t>
  </si>
  <si>
    <t>Hedging derivatives</t>
  </si>
  <si>
    <t>Hedging derivatives liability</t>
  </si>
  <si>
    <t xml:space="preserve">•  Add any comments or suggestions on the "Comments" tab. We value your opinion and appreciate your feedback. Thanks! </t>
  </si>
  <si>
    <t>Due from Prim Gov</t>
  </si>
  <si>
    <t>Due from State of NC component units (ws 525)</t>
  </si>
  <si>
    <t>Due from primary government (ws 515)</t>
  </si>
  <si>
    <t>Restricted due from State of NC component units (ws 525)</t>
  </si>
  <si>
    <t>Restricted due from primary government (ws 515)</t>
  </si>
  <si>
    <t>Due to primary government (ws 520)</t>
  </si>
  <si>
    <t>Advance from primary government (ws 535)</t>
  </si>
  <si>
    <t>SCHEDULE OF DUE FROM / RESTRICTED DUE FROM PRIMARY GOVERNMENT (515)</t>
  </si>
  <si>
    <t>Restr Due From St of NC Comp Unit</t>
  </si>
  <si>
    <t>Advances From Primary Government</t>
  </si>
  <si>
    <t>Due to State of NC component units (ws 530)</t>
  </si>
  <si>
    <t>SCHEDULE OF DUE TO STATE OF NC COMPONENT UNITS (530)</t>
  </si>
  <si>
    <t>SCHEDULE OF ADVANCES (535)</t>
  </si>
  <si>
    <t xml:space="preserve">Instructions:  Review this format for completeness and check to make sure it is free of error messages.  </t>
  </si>
  <si>
    <t>•  Enter amounts as positive numbers unless indicated otherwise. Enter dollars and cents; do not round to whole dollars.</t>
  </si>
  <si>
    <r>
      <t>•</t>
    </r>
    <r>
      <rPr>
        <sz val="12"/>
        <rFont val="Times New Roman"/>
        <family val="1"/>
      </rPr>
      <t xml:space="preserve">  Shaded, grayed-out boxes in the NA column indicate manadatory worksheets that must be completed.</t>
    </r>
  </si>
  <si>
    <t>Reference</t>
  </si>
  <si>
    <t>Review for reasonableness</t>
  </si>
  <si>
    <t>From CAFR_Stmts tab</t>
  </si>
  <si>
    <t>NC Partnership</t>
  </si>
  <si>
    <t>for Children</t>
  </si>
  <si>
    <t>NC Railroad</t>
  </si>
  <si>
    <t>Company</t>
  </si>
  <si>
    <t>Center</t>
  </si>
  <si>
    <t>NC Biotechnol.</t>
  </si>
  <si>
    <t>From PriorYrBal tab</t>
  </si>
  <si>
    <t>Foundation</t>
  </si>
  <si>
    <t>Global TransPark</t>
  </si>
  <si>
    <t>NC Global TransPark Authority Foundation</t>
  </si>
  <si>
    <t>48T</t>
  </si>
  <si>
    <t>ZL</t>
  </si>
  <si>
    <t>NCAS or Offline</t>
  </si>
  <si>
    <t>PriorYrBal</t>
  </si>
  <si>
    <t>For reference - to populate Variances tab - Prior year column</t>
  </si>
  <si>
    <t>Restatement (ws 430)</t>
  </si>
  <si>
    <t>Purpose/Directions  - For OSC use only:</t>
  </si>
  <si>
    <t>To update all dates in workbook, enter the above dates.  This Data</t>
  </si>
  <si>
    <t>tab is the starting point and source for all dates in the workbook.</t>
  </si>
  <si>
    <t>19</t>
  </si>
  <si>
    <t>Dept. of Public Safety</t>
  </si>
  <si>
    <t>CONTINGENCIES (345)</t>
  </si>
  <si>
    <t>SUBSEQUENT EVENTS / OTHER ITEMS (355)</t>
  </si>
  <si>
    <t>SCHEDULE OF DUE TO PRIMARY GOVERNMENT (520)</t>
  </si>
  <si>
    <t>SCHEDULE OF DUE FROM /  RESTRICTED DUE FROM STATE OF NC COMPONENT UNITS (525)</t>
  </si>
  <si>
    <t>SIGNIFICANT TRANSACTIONS BETWEEN COMPONENT UNITS (610)</t>
  </si>
  <si>
    <t>FOUNDATIONS SURVEY (615)</t>
  </si>
  <si>
    <t>Analytical Review (625)</t>
  </si>
  <si>
    <t>Net Position:</t>
  </si>
  <si>
    <t xml:space="preserve">Statement of Net Position verification </t>
  </si>
  <si>
    <t>Total Net Position</t>
  </si>
  <si>
    <t>DEFERRED OUTFLOWS OF RESOURCES</t>
  </si>
  <si>
    <t>Accumulated decrease in fair value of hedging derivative</t>
  </si>
  <si>
    <t xml:space="preserve">       Total deferred outflows of resources</t>
  </si>
  <si>
    <t>DEFERRED INFLOWS OF RESOURCES</t>
  </si>
  <si>
    <t>Accumulated increase in fair value of hedging derivative</t>
  </si>
  <si>
    <t>Statement of Net Position</t>
  </si>
  <si>
    <t>Total deferred outflows of resources</t>
  </si>
  <si>
    <t>Assets + deferred outflows - liabilities - deferred inflows = net position</t>
  </si>
  <si>
    <t>Net position—July 1</t>
  </si>
  <si>
    <t>Net position—June 30</t>
  </si>
  <si>
    <t>Increase (Decrease) in Net Position</t>
  </si>
  <si>
    <t>Serv concess arrangmnt revenue applicable to future yrs</t>
  </si>
  <si>
    <t>Ending net position agrees with Statement of Net Position</t>
  </si>
  <si>
    <t>NET POSITION</t>
  </si>
  <si>
    <t>Total net position</t>
  </si>
  <si>
    <t>Increase (decrease) in net position</t>
  </si>
  <si>
    <t>Net position - end of year</t>
  </si>
  <si>
    <t>(Ending net position agrees with Statement of Net Position)</t>
  </si>
  <si>
    <t>Statement of Net Position and a Statement of Activities.</t>
  </si>
  <si>
    <t>Serv concess arrangmt revenue applicable to future years</t>
  </si>
  <si>
    <t>Total deferred inflows of resources</t>
  </si>
  <si>
    <t>(Assets + deferred outflows - liabilities - deferred inflows = net position)</t>
  </si>
  <si>
    <t>(Total assets + total deferred outflows -total liabilities - total deferred inflows = Total net position)</t>
  </si>
  <si>
    <t xml:space="preserve">       Total deferred inflows of resources</t>
  </si>
  <si>
    <t>Net position—end of year</t>
  </si>
  <si>
    <t>Net position—beginning of year</t>
  </si>
  <si>
    <t xml:space="preserve">Net position between Stmt of Net Position and O/S </t>
  </si>
  <si>
    <t>Restricted, expendable net position</t>
  </si>
  <si>
    <t>Less: Restricted, expendable net position</t>
  </si>
  <si>
    <t>Unrestricted net position</t>
  </si>
  <si>
    <t>needed by OSC to properly calculate restricted net position per GASB 34.</t>
  </si>
  <si>
    <t>net position balance of the component that includes the unspent cash.  For example, if an entity has</t>
  </si>
  <si>
    <t>should not be included in the calculation of "net invested in capital assets".  Rather, that</t>
  </si>
  <si>
    <t>portion of the debt should be included in the same net position component as the unspent proceeds  (i.e.,</t>
  </si>
  <si>
    <t>Offline GASB Component Unit Financial Statements - 
Statement of Net Position &amp; Statement of Activities</t>
  </si>
  <si>
    <t>Expenses, and Changes in Fund Net Position (for proprietary funds).</t>
  </si>
  <si>
    <t>Agrees to Stmnt of Net Position</t>
  </si>
  <si>
    <t>Ending Net Position</t>
  </si>
  <si>
    <t>Centennial</t>
  </si>
  <si>
    <t>The Golden</t>
  </si>
  <si>
    <t>Leaf, Inc.</t>
  </si>
  <si>
    <t>North Carolina</t>
  </si>
  <si>
    <t>Housing Finance Ag.</t>
  </si>
  <si>
    <t>State Education</t>
  </si>
  <si>
    <t>Assistance Auth.</t>
  </si>
  <si>
    <t>(Ending net assets agrees with Statement of Net Assets)</t>
  </si>
  <si>
    <t>(Assets + def. outflows - liabilities - def. inflows = net position)</t>
  </si>
  <si>
    <t>Centennial Authority</t>
  </si>
  <si>
    <t>Authority</t>
  </si>
  <si>
    <t>GASB_
Stmts</t>
  </si>
  <si>
    <t>FASB_
Stmts</t>
  </si>
  <si>
    <t>REVENUES</t>
  </si>
  <si>
    <t>EXPENSES</t>
  </si>
  <si>
    <t>Net investment in capital assets</t>
  </si>
  <si>
    <t>Less: Net investment in capital assets</t>
  </si>
  <si>
    <t>ZG</t>
  </si>
  <si>
    <t>Expendable</t>
  </si>
  <si>
    <t>Nonexpendable</t>
  </si>
  <si>
    <t xml:space="preserve">•  Staggered Due Dates: Earlier submission is strongly encouraged! </t>
  </si>
  <si>
    <t>RESTATEMENTS (430)</t>
  </si>
  <si>
    <t>Two-Year Comparative for Offline Comp. Units - Computed Variances for Analytical Review - w/s 625</t>
  </si>
  <si>
    <t>Two-Year Comparitive for Offline Component Units: Worksheet for computing variances for Analytical Review worksheet 625</t>
  </si>
  <si>
    <t>Controller immediately.</t>
  </si>
  <si>
    <t>purposes, only include debt issuances if the State of NC is obligated in any manner for the debt.</t>
  </si>
  <si>
    <t>Explain YES below.  If additional space is needed, document on the Explanations tab.</t>
  </si>
  <si>
    <t>NC Housing Finance Agency</t>
  </si>
  <si>
    <t>State Education Assistance Auth.</t>
  </si>
  <si>
    <t>NCAS agency</t>
  </si>
  <si>
    <t xml:space="preserve">NCAS agency </t>
  </si>
  <si>
    <t>see DSS CAFR reports</t>
  </si>
  <si>
    <t xml:space="preserve">GASB Fund No: </t>
  </si>
  <si>
    <t>GASB Statement 60 establishes accounting and financial reporting standards for service concession</t>
  </si>
  <si>
    <t>arrangements (SCAs), which are a type of public-private or public-public partnership.</t>
  </si>
  <si>
    <t xml:space="preserve">As used in this Statement, an SCA is an arrangement between a transferor (a government) and an operator </t>
  </si>
  <si>
    <r>
      <t xml:space="preserve">(governmental or nongovernmental entity) in which </t>
    </r>
    <r>
      <rPr>
        <b/>
        <u/>
        <sz val="10"/>
        <rFont val="Arial"/>
        <family val="2"/>
      </rPr>
      <t>ALL</t>
    </r>
    <r>
      <rPr>
        <sz val="10"/>
        <rFont val="Arial"/>
        <family val="2"/>
      </rPr>
      <t xml:space="preserve"> of the following criteria are met:</t>
    </r>
  </si>
  <si>
    <t>a.</t>
  </si>
  <si>
    <t>The transferor (government) conveys to the operator (private party or government) the right and</t>
  </si>
  <si>
    <r>
      <t xml:space="preserve">related obligation to provide </t>
    </r>
    <r>
      <rPr>
        <u/>
        <sz val="10"/>
        <rFont val="Arial"/>
        <family val="2"/>
      </rPr>
      <t>public services</t>
    </r>
    <r>
      <rPr>
        <sz val="10"/>
        <rFont val="Arial"/>
        <family val="2"/>
      </rPr>
      <t xml:space="preserve"> through the use and operation of a capital asset in </t>
    </r>
  </si>
  <si>
    <t xml:space="preserve">exchange for significant consideration, such as an up-front payment, installment payments, a new </t>
  </si>
  <si>
    <t>facility, or improvements to an existing facility.</t>
  </si>
  <si>
    <t>Note: The services should relate to the primary function of the facility (e.g., operating a stadium)</t>
  </si>
  <si>
    <t>rather than ancillary services operated in conjunction with the facility (e.g., vendor concessions at</t>
  </si>
  <si>
    <t>the stadium).</t>
  </si>
  <si>
    <t>b.</t>
  </si>
  <si>
    <r>
      <t xml:space="preserve">The operator collects and is compensated by fees from </t>
    </r>
    <r>
      <rPr>
        <u/>
        <sz val="10"/>
        <rFont val="Arial"/>
        <family val="2"/>
      </rPr>
      <t>third parties</t>
    </r>
    <r>
      <rPr>
        <sz val="10"/>
        <rFont val="Arial"/>
        <family val="2"/>
      </rPr>
      <t xml:space="preserve"> (not by the transferor government).</t>
    </r>
  </si>
  <si>
    <t>c.</t>
  </si>
  <si>
    <t xml:space="preserve">The transferor determines or has the ability to modify or approve (1) what services the operator is </t>
  </si>
  <si>
    <r>
      <t xml:space="preserve">required to provide, (2) to whom the operator is required to provide the services, </t>
    </r>
    <r>
      <rPr>
        <b/>
        <u/>
        <sz val="10"/>
        <rFont val="Arial"/>
        <family val="2"/>
      </rPr>
      <t>AND</t>
    </r>
    <r>
      <rPr>
        <sz val="10"/>
        <rFont val="Arial"/>
        <family val="2"/>
      </rPr>
      <t xml:space="preserve"> (3) the prices</t>
    </r>
  </si>
  <si>
    <t>or rates that can be charged for the services.</t>
  </si>
  <si>
    <t>d.</t>
  </si>
  <si>
    <t>The transferor is entitled to significant residual interest in the service utility of the facility at the end</t>
  </si>
  <si>
    <t>of the arrangement.</t>
  </si>
  <si>
    <t>Has your agency/university entered into any public-private or public-public partnership arrangements that are</t>
  </si>
  <si>
    <r>
      <t xml:space="preserve">still in force and meet </t>
    </r>
    <r>
      <rPr>
        <b/>
        <u/>
        <sz val="10"/>
        <rFont val="Arial"/>
        <family val="2"/>
      </rPr>
      <t>ALL</t>
    </r>
    <r>
      <rPr>
        <sz val="10"/>
        <rFont val="Arial"/>
        <family val="2"/>
      </rPr>
      <t xml:space="preserve"> of the above criteria (Indicate with an "X")?</t>
    </r>
  </si>
  <si>
    <t>YES</t>
  </si>
  <si>
    <t>NO</t>
  </si>
  <si>
    <t>If you answered YES, disclosure is required:</t>
  </si>
  <si>
    <t xml:space="preserve">GASB Statement 60 requires certain disclosures about an agency's service concession arrangements.  The </t>
  </si>
  <si>
    <t>SERVICE CONCESSION ARRANGEMENTS (110)</t>
  </si>
  <si>
    <t/>
  </si>
  <si>
    <t>Deferred gain on refunding</t>
  </si>
  <si>
    <t>Deferred inflows-nonexchange transactions</t>
  </si>
  <si>
    <t>Deferred loss on refunding</t>
  </si>
  <si>
    <t xml:space="preserve">ONLY APPLIES TO STATE EDUCATION ASSISTANCE AUTHORITY, NC HOUSING FINANCE AGENCY, </t>
  </si>
  <si>
    <t xml:space="preserve">GASB Statement 70 provides new recognition, measurement, and disclosure guidance for state and local </t>
  </si>
  <si>
    <t>governments that extend or receive nonexchange financial guarantees.</t>
  </si>
  <si>
    <t xml:space="preserve">A nonexchange financial guarantee occurs when a government guarantees a financial obligation but generally </t>
  </si>
  <si>
    <t xml:space="preserve">receives little or no compensation in return. The government guaranteeing the debt (guarantor) agrees to make </t>
  </si>
  <si>
    <t>payments to the holder of the debt if the entity that issued the debt (issuer) is unable to fulfill its obligations.</t>
  </si>
  <si>
    <t xml:space="preserve">Nonexchange financial guarantees that meet certain recognition and measurement requirements should be </t>
  </si>
  <si>
    <t>reported in the financial statements.</t>
  </si>
  <si>
    <t>For more information on GASB 70, refer to the GASB Resources link on OSC's homepage (or see link below).</t>
  </si>
  <si>
    <t>Financial Reporting Update GASB 70</t>
  </si>
  <si>
    <t>Has your agency/university been a party to any nonexchange financial guarantees during the year?</t>
  </si>
  <si>
    <t>GASB Statement 70 requires certain disclosures for both the guarantor government and issuer government.</t>
  </si>
  <si>
    <t>NONEXCHANGE FINANCIAL GUARANTEES (338)</t>
  </si>
  <si>
    <t>Nonexchange Financial Guarantees</t>
  </si>
  <si>
    <t>GASB Fund Number</t>
  </si>
  <si>
    <t>Agency 
Number</t>
  </si>
  <si>
    <t>Type of Agency**</t>
  </si>
  <si>
    <t>(919) 807-7553</t>
  </si>
  <si>
    <t>Joan Fontes</t>
  </si>
  <si>
    <t>Sue Kearney</t>
  </si>
  <si>
    <t>(919) 707-3036</t>
  </si>
  <si>
    <t>(919) 707-0768</t>
  </si>
  <si>
    <t>(919) 707-4219</t>
  </si>
  <si>
    <t>Laketha Miller</t>
  </si>
  <si>
    <t>(919) 855-3700</t>
  </si>
  <si>
    <t>Anita Bunch</t>
  </si>
  <si>
    <t>(919) 754-2518</t>
  </si>
  <si>
    <t>48X</t>
  </si>
  <si>
    <t>UNC Hlth Care Rep Unit (Combined Pkg)</t>
  </si>
  <si>
    <t>263X</t>
  </si>
  <si>
    <t>48HP</t>
  </si>
  <si>
    <t>High Point Regional Health</t>
  </si>
  <si>
    <t>48CW</t>
  </si>
  <si>
    <t>Caldwell Memorial Hospital</t>
  </si>
  <si>
    <t>Joe Belnak</t>
  </si>
  <si>
    <t>(919) 301-3436</t>
  </si>
  <si>
    <t>(919) 431-3009</t>
  </si>
  <si>
    <t>6BC</t>
  </si>
  <si>
    <t>Deferred Comp &amp; NC 401(k)-Combined Pkg</t>
  </si>
  <si>
    <t>Although part of UNC System, NCSSM is a primary NCAS agency that will continue using DSS.</t>
  </si>
  <si>
    <t>Jackie McKoy</t>
  </si>
  <si>
    <t>(919) 754-2524</t>
  </si>
  <si>
    <r>
      <t xml:space="preserve">Offline </t>
    </r>
    <r>
      <rPr>
        <b/>
        <sz val="14"/>
        <rFont val="Calibri"/>
        <family val="2"/>
      </rPr>
      <t>²</t>
    </r>
  </si>
  <si>
    <t>(704) 687-5755</t>
  </si>
  <si>
    <t>(828) 231-5109</t>
  </si>
  <si>
    <t>North Carolina A&amp;T University</t>
  </si>
  <si>
    <t>(336) 285-3028</t>
  </si>
  <si>
    <t>David Jamison</t>
  </si>
  <si>
    <t>(828) 262-6426</t>
  </si>
  <si>
    <t>Gina Knight</t>
  </si>
  <si>
    <t>(252) 335-4822</t>
  </si>
  <si>
    <t>North Carolina Housing Finance Ag.</t>
  </si>
  <si>
    <t>Trina Warren</t>
  </si>
  <si>
    <t>The Global TransPark Foundation is a component unit of Global TransPark; it is remaining offline.</t>
  </si>
  <si>
    <t>Terry Dail</t>
  </si>
  <si>
    <t>(910) 343-6414</t>
  </si>
  <si>
    <t>Larna Griffin</t>
  </si>
  <si>
    <t>Reclassified to nonmajor based on GASB 61</t>
  </si>
  <si>
    <t>John House</t>
  </si>
  <si>
    <t>(252) 442-7474</t>
  </si>
  <si>
    <t>Gateway University Research Park, Inc.</t>
  </si>
  <si>
    <t>David Holman</t>
  </si>
  <si>
    <t>CA</t>
  </si>
  <si>
    <t>Catawba Valley Community College</t>
  </si>
  <si>
    <t>CB</t>
  </si>
  <si>
    <t>Central Carolina Community College</t>
  </si>
  <si>
    <t>Central Piedmont Community College</t>
  </si>
  <si>
    <t>Michelle Stiles</t>
  </si>
  <si>
    <t>CK</t>
  </si>
  <si>
    <t>Edgecombe Community College</t>
  </si>
  <si>
    <t>CL</t>
  </si>
  <si>
    <t>Fayetteville Technical Community College</t>
  </si>
  <si>
    <t>Robin Deaver</t>
  </si>
  <si>
    <t>CM</t>
  </si>
  <si>
    <t>Forsyth Technical Community College</t>
  </si>
  <si>
    <t>Amy Penson</t>
  </si>
  <si>
    <t>LaTasha Moore</t>
  </si>
  <si>
    <t>CW</t>
  </si>
  <si>
    <t>Martin Community College</t>
  </si>
  <si>
    <t>Cathy Biby</t>
  </si>
  <si>
    <t>Carol Dornseif</t>
  </si>
  <si>
    <t>D6</t>
  </si>
  <si>
    <t>Richmond Community College</t>
  </si>
  <si>
    <t>Debbie Cashwell</t>
  </si>
  <si>
    <t>Lettie Navarrete</t>
  </si>
  <si>
    <t>Kelly Jackson</t>
  </si>
  <si>
    <t>Karen Polyasko</t>
  </si>
  <si>
    <t>DF</t>
  </si>
  <si>
    <t>Stanly Community College</t>
  </si>
  <si>
    <t>Leah Englebright</t>
  </si>
  <si>
    <t>Marla Tart</t>
  </si>
  <si>
    <t>Annette Woodard</t>
  </si>
  <si>
    <t>Jessica Jones</t>
  </si>
  <si>
    <t>Nonmajor</t>
  </si>
  <si>
    <t xml:space="preserve">Nonmajor component unit - see note below </t>
  </si>
  <si>
    <t>Service Concession Arrangements</t>
  </si>
  <si>
    <t>Restricted and Unrestricted Net Position</t>
  </si>
  <si>
    <r>
      <rPr>
        <b/>
        <sz val="10"/>
        <rFont val="Arial"/>
        <family val="2"/>
      </rPr>
      <t>(1)</t>
    </r>
    <r>
      <rPr>
        <sz val="10"/>
        <rFont val="Arial"/>
        <family val="2"/>
      </rPr>
      <t xml:space="preserve"> </t>
    </r>
    <r>
      <rPr>
        <b/>
        <sz val="10"/>
        <rFont val="Arial"/>
        <family val="2"/>
      </rPr>
      <t>Transactions with the State Health Plan, a major component unit of the State of NC:</t>
    </r>
    <r>
      <rPr>
        <sz val="10"/>
        <rFont val="Arial"/>
        <family val="2"/>
      </rPr>
      <t xml:space="preserve">  </t>
    </r>
  </si>
  <si>
    <t>NCAS account 531561 MED INS CONTRIB-APPRO or 531562 MED INS CONTRIB-RECPTS.</t>
  </si>
  <si>
    <t>All component units must complete this worksheet; it cannot be marked NA or omitted.</t>
  </si>
  <si>
    <t>ENTITY INFORMATION (115)</t>
  </si>
  <si>
    <t>1)</t>
  </si>
  <si>
    <t>Were there any changes to your entity's enabling legislation (i.e., general statutes that authorized the creation</t>
  </si>
  <si>
    <t>If "Yes", summarize the changes below (include statute references):</t>
  </si>
  <si>
    <t xml:space="preserve">      (Examples include governing body changes, significant changes in State funding, etc.)</t>
  </si>
  <si>
    <t>2)</t>
  </si>
  <si>
    <t>Were there any changes to your entity's bylaws and/or articles of incorporation effective for fiscal year</t>
  </si>
  <si>
    <t>If "Yes", summarize the changes below:</t>
  </si>
  <si>
    <t>If item 2 above is "Yes", please submit a copy of the revised bylaws and/or articles of incorporation</t>
  </si>
  <si>
    <t>3)</t>
  </si>
  <si>
    <t>Are you aware of any other changes that may impact your entity's status as a component unit of the</t>
  </si>
  <si>
    <t>State of North Carolina?</t>
  </si>
  <si>
    <t>4)</t>
  </si>
  <si>
    <t>Do any changes need to be made to your entity's disclosures as shown below?</t>
  </si>
  <si>
    <t>A) Change to entity disclosures?</t>
  </si>
  <si>
    <t>B) Change in mailing address?</t>
  </si>
  <si>
    <t>(Audit Completed by the Office of the State Auditor)</t>
  </si>
  <si>
    <t>Code</t>
  </si>
  <si>
    <t>Disclosures</t>
  </si>
  <si>
    <t>B) Contact for Audit Report</t>
  </si>
  <si>
    <t>P.O. Box 28066</t>
  </si>
  <si>
    <t>Raleigh, N.C. 27611-8066</t>
  </si>
  <si>
    <t>North Carolina Biotechnology Center</t>
  </si>
  <si>
    <t>P.O. Box 13547</t>
  </si>
  <si>
    <t>Research Triangle Park, N.C. 27709-3547</t>
  </si>
  <si>
    <t>IF AUDIT NO LONGER COMPLETED BY OSA, type mailing address for audit report here.</t>
  </si>
  <si>
    <t>P.O. Box 14103</t>
  </si>
  <si>
    <t>Research Triangle Park, N.C. 27709-4103</t>
  </si>
  <si>
    <t>1400 Edwards Mill Road</t>
  </si>
  <si>
    <t>Raleigh, N.C. 27607</t>
  </si>
  <si>
    <t>North Carolina Railroad Company</t>
  </si>
  <si>
    <t>Raleigh, N.C.  27604-1000</t>
  </si>
  <si>
    <t>301 North Winstead Avenue</t>
  </si>
  <si>
    <t>Rocky Mount, N.C. 27804</t>
  </si>
  <si>
    <t>NA – Global Transpark Foundation</t>
  </si>
  <si>
    <t>A) Component Unit Information</t>
  </si>
  <si>
    <t>A) Certain information about each component (GASB 14 ¶61, as amended by GASB 61) and B) the address</t>
  </si>
  <si>
    <t>to obtain your financial statements (if audit not performed by the Office of the State Auditor). To see your</t>
  </si>
  <si>
    <t>Workers Compensation</t>
  </si>
  <si>
    <t>Workers compensation-current</t>
  </si>
  <si>
    <t>Accumulated other comprehensive income</t>
  </si>
  <si>
    <t>Dividend payable (NC Railroad only)</t>
  </si>
  <si>
    <t>Entity Information</t>
  </si>
  <si>
    <t>Deferred inflows - nonexchange transactions</t>
  </si>
  <si>
    <t>Deferred state aid</t>
  </si>
  <si>
    <t>GOVERNMENT COMBINATIONS AND DISPOSALS OF GOVERNMENT OPERATIONS (120)</t>
  </si>
  <si>
    <t>GASB Statement 69 establishes accounting and financial reporting standards related to government</t>
  </si>
  <si>
    <r>
      <t xml:space="preserve">As used in this Statement, the term </t>
    </r>
    <r>
      <rPr>
        <i/>
        <sz val="10"/>
        <rFont val="Arial"/>
        <family val="2"/>
      </rPr>
      <t>government combinations</t>
    </r>
    <r>
      <rPr>
        <sz val="10"/>
        <rFont val="Arial"/>
        <family val="2"/>
      </rPr>
      <t xml:space="preserve"> includes a variety of transactions referred to</t>
    </r>
  </si>
  <si>
    <t>as mergers, acquisitions, and transfers of operations.</t>
  </si>
  <si>
    <t xml:space="preserve">Government mergers include combinations of legally separate entities with out the exchange of </t>
  </si>
  <si>
    <t>significant consideration.</t>
  </si>
  <si>
    <t>Government acquisitions are transactions in which a government acquires another entitiy,</t>
  </si>
  <si>
    <t>or its operations, in exchange for significant consideration.</t>
  </si>
  <si>
    <t>NC Partnership for Children, Inc.</t>
  </si>
  <si>
    <t>Select Agency</t>
  </si>
  <si>
    <t>ZM</t>
  </si>
  <si>
    <t>Economic Development Partnership of NC</t>
  </si>
  <si>
    <t>Economic Dev.</t>
  </si>
  <si>
    <t>Partnership Of NC</t>
  </si>
  <si>
    <t>Click       below, uncheck all boxes, and check the box next to your agency to view your disclosures:</t>
  </si>
  <si>
    <t>Other deferred outflows</t>
  </si>
  <si>
    <t>Other deferred inflows</t>
  </si>
  <si>
    <t>Deferred outflows for pensions</t>
  </si>
  <si>
    <t>Compensated absences-current</t>
  </si>
  <si>
    <t>Compensated absences</t>
  </si>
  <si>
    <t>Net pension liability-current</t>
  </si>
  <si>
    <t>Net pension liability</t>
  </si>
  <si>
    <t>Deferred inflows for pensions</t>
  </si>
  <si>
    <t xml:space="preserve">Economic Development Partnership of North Carolina </t>
  </si>
  <si>
    <t>Economic Development Partnership of North Carolina</t>
  </si>
  <si>
    <t>15000 Weston Pkwy</t>
  </si>
  <si>
    <t>Cary, N.C. 27513</t>
  </si>
  <si>
    <r>
      <rPr>
        <sz val="9.5"/>
        <color indexed="8"/>
        <rFont val="Arial"/>
        <family val="2"/>
      </rPr>
      <t>Audit Report completed by OSA.</t>
    </r>
    <r>
      <rPr>
        <b/>
        <sz val="9.5"/>
        <color indexed="10"/>
        <rFont val="Arial"/>
        <family val="2"/>
      </rPr>
      <t xml:space="preserve">  </t>
    </r>
  </si>
  <si>
    <t>(Indicate with an "X")</t>
  </si>
  <si>
    <t>Government merger</t>
  </si>
  <si>
    <t>Transfer of operations</t>
  </si>
  <si>
    <t xml:space="preserve">Transfers of operations are government combination involving the operations (as defined in paragraph 4 </t>
  </si>
  <si>
    <t>of GASB 69) of a government or nongovernmental entity, rather than a combination of legally separate</t>
  </si>
  <si>
    <t>Government acquisition</t>
  </si>
  <si>
    <t>Financial Reporting Update for GASB 69</t>
  </si>
  <si>
    <t xml:space="preserve">entities, in which no significant consideration is exchanged. </t>
  </si>
  <si>
    <t>Tommy Clark</t>
  </si>
  <si>
    <t>combinations and disposals of government operations. Additional guidance is included as follows:</t>
  </si>
  <si>
    <t>(919) 807-6036</t>
  </si>
  <si>
    <t>Lori Oldham</t>
  </si>
  <si>
    <t>Kathy Burckley</t>
  </si>
  <si>
    <t>Christine Jumalon</t>
  </si>
  <si>
    <t>(910) 672-1163</t>
  </si>
  <si>
    <t>Mary Jane Westphal</t>
  </si>
  <si>
    <t>(252)523-1351x303</t>
  </si>
  <si>
    <t>(252)523-1351x316</t>
  </si>
  <si>
    <t>919-248-4698</t>
  </si>
  <si>
    <t>919-829-8132</t>
  </si>
  <si>
    <t>919-954-7601</t>
  </si>
  <si>
    <t>New in 2015</t>
  </si>
  <si>
    <t>336-506-4410</t>
  </si>
  <si>
    <t>910-362-7074</t>
  </si>
  <si>
    <t>919-718-7498</t>
  </si>
  <si>
    <t>910-938-6218</t>
  </si>
  <si>
    <t>919-209-2070</t>
  </si>
  <si>
    <t>252-451-8365</t>
  </si>
  <si>
    <t>910-410-1803</t>
  </si>
  <si>
    <t>910-272-3552</t>
  </si>
  <si>
    <t>336-342-4261 x2186</t>
  </si>
  <si>
    <t>704-216-7235</t>
  </si>
  <si>
    <t>Note:  This worksheet only applies to the TransPark Foundation, Biotech, &amp; NC Railroad</t>
  </si>
  <si>
    <t>(1) Employer's share of medical insurance premiums paid to State Health Plan</t>
  </si>
  <si>
    <t>Government Combinations and Disposal of Government Operations</t>
  </si>
  <si>
    <t>Jobs generated from recruitment/expansion of companies</t>
  </si>
  <si>
    <t>Capital investment (thousands)</t>
  </si>
  <si>
    <t>Economic Development Partnership of NC Only</t>
  </si>
  <si>
    <t>Net pension asset (Centennial Authority only)</t>
  </si>
  <si>
    <t>Matthew Longobardi</t>
  </si>
  <si>
    <t>(919) 716-6077</t>
  </si>
  <si>
    <t>Department of Environmental Quality</t>
  </si>
  <si>
    <t>Amy Causby</t>
  </si>
  <si>
    <t>40</t>
  </si>
  <si>
    <t>Department of Military &amp; Veterans Affairs</t>
  </si>
  <si>
    <t>Department of Information Technology</t>
  </si>
  <si>
    <t>Department of Natural and Cultural Resources</t>
  </si>
  <si>
    <t>Elizabeth Theora</t>
  </si>
  <si>
    <t>(984) 974-1002</t>
  </si>
  <si>
    <t>Mary E. Hall</t>
  </si>
  <si>
    <t>Heather Iannucci</t>
  </si>
  <si>
    <t>(910) 962-3144</t>
  </si>
  <si>
    <r>
      <t xml:space="preserve">If </t>
    </r>
    <r>
      <rPr>
        <b/>
        <sz val="10"/>
        <rFont val="Arial Narrow"/>
        <family val="2"/>
      </rPr>
      <t>Yes for either A or B above</t>
    </r>
    <r>
      <rPr>
        <sz val="10"/>
        <rFont val="Arial Narrow"/>
        <family val="2"/>
      </rPr>
      <t xml:space="preserve">, please make any necessary changes below and </t>
    </r>
    <r>
      <rPr>
        <u/>
        <sz val="10"/>
        <rFont val="Arial Narrow"/>
        <family val="2"/>
      </rPr>
      <t>underline the changes (strikethrough any deletions).</t>
    </r>
  </si>
  <si>
    <r>
      <rPr>
        <sz val="9"/>
        <color indexed="8"/>
        <rFont val="Times New Roman"/>
        <family val="1"/>
      </rPr>
      <t>Audit Report completed by OSA.</t>
    </r>
    <r>
      <rPr>
        <b/>
        <sz val="9"/>
        <color indexed="10"/>
        <rFont val="Times New Roman"/>
        <family val="1"/>
      </rPr>
      <t xml:space="preserve">  </t>
    </r>
  </si>
  <si>
    <t>919-821-9530</t>
  </si>
  <si>
    <t>Change</t>
  </si>
  <si>
    <t xml:space="preserve">You will need to review prior to submitting your package to detemine if the changes impact your entity and </t>
  </si>
  <si>
    <t>whether or not you need to download the updated version.  Contact your OSC analyst if you have any questions.</t>
  </si>
  <si>
    <t>01</t>
  </si>
  <si>
    <t>02</t>
  </si>
  <si>
    <t>03</t>
  </si>
  <si>
    <t>04</t>
  </si>
  <si>
    <t>05</t>
  </si>
  <si>
    <t>06</t>
  </si>
  <si>
    <t>07</t>
  </si>
  <si>
    <t>(919) 814-3898</t>
  </si>
  <si>
    <t>08</t>
  </si>
  <si>
    <t>09</t>
  </si>
  <si>
    <t>10</t>
  </si>
  <si>
    <t>11</t>
  </si>
  <si>
    <t>12</t>
  </si>
  <si>
    <t>14</t>
  </si>
  <si>
    <t>15</t>
  </si>
  <si>
    <t>16</t>
  </si>
  <si>
    <t>17</t>
  </si>
  <si>
    <t>43</t>
  </si>
  <si>
    <t>45</t>
  </si>
  <si>
    <t>46</t>
  </si>
  <si>
    <t>48</t>
  </si>
  <si>
    <t>50</t>
  </si>
  <si>
    <t>60</t>
  </si>
  <si>
    <t>67</t>
  </si>
  <si>
    <t>87</t>
  </si>
  <si>
    <t>(919) 707-0523</t>
  </si>
  <si>
    <t>OSC Only</t>
  </si>
  <si>
    <t>Date of Change</t>
  </si>
  <si>
    <t>Worksheet / Narrative #</t>
  </si>
  <si>
    <t>Description of Change</t>
  </si>
  <si>
    <t>Analyst</t>
  </si>
  <si>
    <t>Web Team Notified to Update SIG</t>
  </si>
  <si>
    <t>Revision Date for SIG</t>
  </si>
  <si>
    <t>Date Agencies Notified</t>
  </si>
  <si>
    <t>The North Carolina Global TransPark Authority (Authority) is a legally separate authority created to administer the development of the North Carolina Global TransPark. Of the 20-member governing board, 19 are voting members. Six of the voting members are appointed by the Governor and six are appointed by the General Assembly. The State has obligated itself to provide significant funding to the
Authority; therefore, a financial benefit/burden relationship exists between the State and the Authority. Effective July 2011, the General Assembly enacted legislation that made the Authority subject to the direction and supervision of the North Carolina Secretary of Transportation. Also included in the Authority is the financial data of its discretely presented component unit, the North Carolina Global
TransPark Foundation.</t>
  </si>
  <si>
    <t>The North Carolina Partnership for Children, Inc. (Partnership) is a legally separate organization established to develop and oversee a comprehensive long-range strategic plan for high-quality early childhood education and development. A 26-member board governs the Partnership. Certain elected state officials appoint 22 of the members, while three members serve ex officio by virtue of their state
positions and one serves as the Director of the N.C. Pre-Kindergarten Program. The State provides significant operating subsidies to the Partnership, creating a financial benefit/burden relationship.</t>
  </si>
  <si>
    <t>The State Education Assistance Authority (Authority) is a legally separate authority created to provide a system of financial assistance, consisting of grants, loans, work-study or other employment, and other aids, to qualified students to obtain an education by attending public or private educational institutions. The Authority is governed by a nine-member board of directors, seven of whom are appointed
by the Governor and two of whom serve ex-officio by virtue of their positions with the N.C. Community College System and the University of North Carolina System. The State provides program subsidies to the Authority; therefore, a financial benefit/burden relationship exists between the State and the Authority.</t>
  </si>
  <si>
    <t>The North Carolina Housing Finance Agency (Agency) is a legally separate organization established to administer programs to finance housing opportunities for low and moderate income individuals. The Agency has a 13-member board of directors, with 12 appointed by either the Governor or the General Assembly. The 13th member is elected by the other 12. The Agency’s mission is defined in its
authorizing statute, which is modified or expanded from time to time by the General Assembly. The General Assembly also appropriates funds that assist the Agency in its mission to finance housing for very low income individuals and those with special needs; therefore, a financial benefit/burden relationship exists between the State and the Agency.</t>
  </si>
  <si>
    <t>The North Carolina Railroad Company (Railroad) is a legally separate, for-profit corporation owned by the State for the purpose of promoting trade, industry, and transportation within North Carolina and advancing the economic interests of the State. The Railroad is governed by a 13-member board, all of whom are elected by shares held by the State. A financial benefit/burden relationship exists
between the State and the Railroad. Also, the State is financially accountable since the State’s intent in owning the Railroad’s stock is to directly enhance the State’s ability to provide governmental services.</t>
  </si>
  <si>
    <t>Unrestricted investment earnings (loss)</t>
  </si>
  <si>
    <t>Investment Income</t>
  </si>
  <si>
    <t>(919) 707-8566</t>
  </si>
  <si>
    <t>(919) 416-2870</t>
  </si>
  <si>
    <t>Investment earnings -restricted (program)</t>
  </si>
  <si>
    <t>Investment earnings -unrestricted (general)</t>
  </si>
  <si>
    <r>
      <t xml:space="preserve">If you become aware of any </t>
    </r>
    <r>
      <rPr>
        <b/>
        <i/>
        <sz val="10"/>
        <rFont val="Arial"/>
        <family val="2"/>
      </rPr>
      <t>MAJOR</t>
    </r>
    <r>
      <rPr>
        <i/>
        <sz val="10"/>
        <rFont val="Arial"/>
        <family val="2"/>
      </rPr>
      <t xml:space="preserve"> transactions ($25 million or greater) and events occurring after the </t>
    </r>
  </si>
  <si>
    <t>(exclude debt issued primarily for refunding of bonds).</t>
  </si>
  <si>
    <t xml:space="preserve">Has any debt issuances ($25 million or greater) occurred subsequent to June 30 and up to the date of this </t>
  </si>
  <si>
    <t xml:space="preserve">Have any material events ($25 million or greater) occurred, other than debt issuances, subsequent to June 30 and </t>
  </si>
  <si>
    <r>
      <t xml:space="preserve">Disclosure is required to be made of </t>
    </r>
    <r>
      <rPr>
        <b/>
        <sz val="10"/>
        <rFont val="Arial"/>
        <family val="2"/>
      </rPr>
      <t>MAJOR</t>
    </r>
    <r>
      <rPr>
        <sz val="10"/>
        <rFont val="Arial"/>
        <family val="2"/>
      </rPr>
      <t xml:space="preserve"> transactions </t>
    </r>
    <r>
      <rPr>
        <b/>
        <sz val="10"/>
        <rFont val="Arial"/>
        <family val="2"/>
      </rPr>
      <t>(</t>
    </r>
    <r>
      <rPr>
        <sz val="10"/>
        <rFont val="Arial"/>
        <family val="2"/>
      </rPr>
      <t>$25 million or greater</t>
    </r>
    <r>
      <rPr>
        <b/>
        <sz val="10"/>
        <rFont val="Arial"/>
        <family val="2"/>
      </rPr>
      <t>)</t>
    </r>
    <r>
      <rPr>
        <sz val="10"/>
        <rFont val="Arial"/>
        <family val="2"/>
      </rPr>
      <t xml:space="preserve"> and events which occur </t>
    </r>
  </si>
  <si>
    <t>Investment earnings - restricted (program)</t>
  </si>
  <si>
    <t>Investment earnings - unrestricted (general)</t>
  </si>
  <si>
    <t>organization associated with your agency that have assets or revenues of $10 million or more.</t>
  </si>
  <si>
    <t>DATA FOR CAFR 5XX WORKSHEETS</t>
  </si>
  <si>
    <t>ONLY INCLUDES AGENCIES</t>
  </si>
  <si>
    <t>USED FOR CAFR W/S 525 AND 530</t>
  </si>
  <si>
    <t>ONLY COMPONENT UNITS</t>
  </si>
  <si>
    <t>UNC Physicians Network</t>
  </si>
  <si>
    <t>USED FOR CAFR W/S 515 &amp; 520</t>
  </si>
  <si>
    <t>Please provide below the employer's share of medical insurance premiums for employees paid to the State</t>
  </si>
  <si>
    <t>Health Plan for this fiscal year. For agencies using the NCAS chart of accounts, this corresponds with</t>
  </si>
  <si>
    <t>Threshold: There is no threshold applicable to this section and a dollar amount is required even</t>
  </si>
  <si>
    <t>if the amount is $0.</t>
  </si>
  <si>
    <t>(2) Transactions with other component units of the State of NC:</t>
  </si>
  <si>
    <t xml:space="preserve">Describe the nature and amount of any other significant transactions with component units of the </t>
  </si>
  <si>
    <t>State of NC.  For a list of component units, please see the 'All Agencies' tab of this workbook or</t>
  </si>
  <si>
    <t>the Instructions file.</t>
  </si>
  <si>
    <t>accrual basis.</t>
  </si>
  <si>
    <t>Threshold: For purposes of this section, 'significant' is defined as $10 million or greater on an</t>
  </si>
  <si>
    <t>(2) Other significant transactions ($10 million threshold) with component units:</t>
  </si>
  <si>
    <t>The Certification Letter should indicate material contingent liabilities are disclosed on Worksheet 345.</t>
  </si>
  <si>
    <t>Material contingent liabilities disclosed on the worksheet should be indicated in the Certification Letter.</t>
  </si>
  <si>
    <t>Ashley Price</t>
  </si>
  <si>
    <t>Prabha Vijayaraghavan</t>
  </si>
  <si>
    <t>(919) 807-7073</t>
  </si>
  <si>
    <t>Elizabeth Haynes</t>
  </si>
  <si>
    <t>828-726-2200</t>
  </si>
  <si>
    <t>Christie Medford</t>
  </si>
  <si>
    <t>828-565-4168</t>
  </si>
  <si>
    <t>252-527-6223 x358</t>
  </si>
  <si>
    <t>Sherry Raby</t>
  </si>
  <si>
    <t>Beverly Murphy</t>
  </si>
  <si>
    <t>Crystal Huffman</t>
  </si>
  <si>
    <t>336-838-6109</t>
  </si>
  <si>
    <t>Net realized/unrealized gains (losses) on investments - restricted (program)</t>
  </si>
  <si>
    <t>Net realized/unrealized gains (losses) on investments - unrestricted (general)</t>
  </si>
  <si>
    <t>Investments reserved for capital projects</t>
  </si>
  <si>
    <t>N.C. Railroad - Investments reserved for capital projects</t>
  </si>
  <si>
    <t>EMPLOYER CONTRIBUTION AMOUNTS FOR TSERS AND OPEB (602)</t>
  </si>
  <si>
    <t xml:space="preserve">contribution amounts subsequent to the measurement date for component units.  </t>
  </si>
  <si>
    <t>Please provide the following information regarding your TSERS' employer contributions.</t>
  </si>
  <si>
    <t>contributions (on the detail tab, see example below)</t>
  </si>
  <si>
    <t>Please provide the following information regarding your RHBF employer contributions.</t>
  </si>
  <si>
    <t>Please provide the following information regarding your DIPNC employer contributions.</t>
  </si>
  <si>
    <t>Deferred outflows for OPEB</t>
  </si>
  <si>
    <t>Net OPEB liability-current</t>
  </si>
  <si>
    <t>Net OPEB liability</t>
  </si>
  <si>
    <t>Deferred inflows for OPEB</t>
  </si>
  <si>
    <t xml:space="preserve">Net OPEB asset </t>
  </si>
  <si>
    <t>Net OPEB asset</t>
  </si>
  <si>
    <t>Beneficial interest in assets held by others</t>
  </si>
  <si>
    <t>Deferred inflows for irrevocable split-interest agreements</t>
  </si>
  <si>
    <t>Gain (Loss) on in-substance defeasance of debt</t>
  </si>
  <si>
    <t>Providence Hakizimana</t>
  </si>
  <si>
    <t>State Health Plan</t>
  </si>
  <si>
    <t>CU-Major</t>
  </si>
  <si>
    <t>Cheryl Davis</t>
  </si>
  <si>
    <t>(919) 814-4633</t>
  </si>
  <si>
    <t>Beth McAndrew</t>
  </si>
  <si>
    <t>(919) 843-2694</t>
  </si>
  <si>
    <t>Mark Stohlman</t>
  </si>
  <si>
    <t>(919) 549-8850</t>
  </si>
  <si>
    <t>2809 Highwoods Boulevard</t>
  </si>
  <si>
    <t>The North Carolina Biotechnology Center (NCBiotech) is a legally separate nonprofit corporation established for the purpose of furthering economic development and job creation in North Carolina through life science technology, company and sector development statewide. NCBiotech is governed by a 40-member board. Twelve of the board members are appointed by the Governor or
General Assembly; four serve as a result of their positions with the UNC System, a component unit of the State; two serve ex officio by virtue of their state positions; and two serve ex officio by virtue of their positions with private universities. The President of NCBiotech serves as an ex officio member. The other members are elected by the board of directors. The State has provided significant funding to
NCBiotech since its inception; therefore, a financial benefit/burden relationship exists between the State and the NCBiotech.</t>
  </si>
  <si>
    <t xml:space="preserve">Employer Contribution Amounts for TSERS and OPEB  </t>
  </si>
  <si>
    <t xml:space="preserve">GASB Statement 83 establishes accounting and financial reporting standards for certain asset retirement </t>
  </si>
  <si>
    <t>obligations (AROs).  For additional guidance on GASB 83, refer to the FRU included in the link below:</t>
  </si>
  <si>
    <t>Provide the following details about external and internal obligating events related to your tangible capital asset:</t>
  </si>
  <si>
    <t>External obligating events (indicate with an "X" each that applies):</t>
  </si>
  <si>
    <t>Approval of federal, state or local laws or regulations</t>
  </si>
  <si>
    <t>Issuance of a court judgment</t>
  </si>
  <si>
    <t>Internal obligating events (indicate with an "X" each that applies):</t>
  </si>
  <si>
    <t>Placing into operation a tangible capital asset that is required to be retired</t>
  </si>
  <si>
    <t xml:space="preserve">Abandoning a tangible capital asset before it is placed into operation </t>
  </si>
  <si>
    <t>Acquiring a tangible capital asset that has an existing ARO</t>
  </si>
  <si>
    <r>
      <t xml:space="preserve">Provide the following details about your ARO </t>
    </r>
    <r>
      <rPr>
        <i/>
        <sz val="10"/>
        <rFont val="Arial"/>
        <family val="2"/>
      </rPr>
      <t>(Note: GASB 5200 for governmental funds)</t>
    </r>
    <r>
      <rPr>
        <sz val="10"/>
        <rFont val="Arial"/>
        <family val="2"/>
      </rPr>
      <t>:</t>
    </r>
  </si>
  <si>
    <t>First year of recognition</t>
  </si>
  <si>
    <t>Initial ARO Measurement (Liability) accrual basis:</t>
  </si>
  <si>
    <t>Current value of outlays expected to be incurred</t>
  </si>
  <si>
    <t>Corresponding Deferred Outflow of Resources:</t>
  </si>
  <si>
    <t>Corresponding deferred outflow of resources</t>
  </si>
  <si>
    <t>Subsequent years of recognition</t>
  </si>
  <si>
    <t>Subsequent Measurement and Recognition of the ARO:</t>
  </si>
  <si>
    <t>Disclosures:</t>
  </si>
  <si>
    <t xml:space="preserve">GASB Statement 83 requires certain disclosures about an agency's asset retirement obligations.  The </t>
  </si>
  <si>
    <t>Certain Asset Retirement Obligations</t>
  </si>
  <si>
    <t>(828) 433-2384</t>
  </si>
  <si>
    <t>Creation of a legally binding contract</t>
  </si>
  <si>
    <t>Subsequent Measurement and Recognition of a Deferred Outflow of Resources:</t>
  </si>
  <si>
    <t>RESTRICTED AND UNRESTRICTED NET POSITION</t>
  </si>
  <si>
    <t>BUSINESS TYPE ACTIVITIES (420)</t>
  </si>
  <si>
    <t>Specify GASB number&gt;&gt;&gt;</t>
  </si>
  <si>
    <t>Restricted Net Position for:</t>
  </si>
  <si>
    <t>Unrestricted Net Position</t>
  </si>
  <si>
    <t>Total Restricted</t>
  </si>
  <si>
    <t>NCAS agencies only; NA for offline</t>
  </si>
  <si>
    <t>For the portion of restricted net position identified above, distinguish amounts between expendable/nonexpendable.</t>
  </si>
  <si>
    <t>Other (specify)</t>
  </si>
  <si>
    <t>(Initial amount of the ARO liability)</t>
  </si>
  <si>
    <t>for the current fiscal year</t>
  </si>
  <si>
    <t>(919) 807-3741</t>
  </si>
  <si>
    <t>Shirley Trollinger</t>
  </si>
  <si>
    <t>Janina Thomas</t>
  </si>
  <si>
    <t>(984) 215-3810</t>
  </si>
  <si>
    <t>Richard Wilson</t>
  </si>
  <si>
    <t>(919) 215-3497</t>
  </si>
  <si>
    <t>Jean Kaseke</t>
  </si>
  <si>
    <t>(984) 784-7702</t>
  </si>
  <si>
    <t>UNC Rockingham Health Care</t>
  </si>
  <si>
    <t>UNC-System Office</t>
  </si>
  <si>
    <t>Debbie Dryer</t>
  </si>
  <si>
    <t>(919) 962-3992</t>
  </si>
  <si>
    <t>Jennifer Brady</t>
  </si>
  <si>
    <t>(919) 515-3823</t>
  </si>
  <si>
    <t>Joy Klenke</t>
  </si>
  <si>
    <t>336-417-5511</t>
  </si>
  <si>
    <t>Asset retirement obligation</t>
  </si>
  <si>
    <t>Deferred outflows for ARO</t>
  </si>
  <si>
    <t>1.  The chance that the State entity will actually incur the liability is better than a REMOTE (either POSSIBLE or</t>
  </si>
  <si>
    <t xml:space="preserve">     PROBABLE) likelihood (terms are defined in the instructions); and,</t>
  </si>
  <si>
    <t xml:space="preserve">2.  The amount of the possible liability is known or can be reasonably estimated, or the amount of the </t>
  </si>
  <si>
    <t>probable/possible liability cannot be reasonably estimated.</t>
  </si>
  <si>
    <t>CERTAIN ASSET RETIREMENT OBLIGATIONS (323)</t>
  </si>
  <si>
    <t>The Golden LEAF, Inc. (Foundation) is a legally separate not-for-profit corporation ordered to be created by the Consent Decree and Final Judgment in the State of North Carolina vs. Philip Morris, et al. The Foundation was established to receive and distribute 50% of the tobacco settlement funds allocated to North Carolina, such funds to be used to provide economic impact assistance to economically affected or tobacco-dependent regions of North Carolina. The 2013 General Assembly enacted legislation repealing the requirement for 50% of tobacco settlement funds to be allocated to the Foundation. In fiscal years 2014 and 2015, these funds were distributed to the State’s General Fund rather than the Foundation. The 2015 General Assembly enacted legislation providing for the appropriation of $10 million of tobacco settlement funds to the Foundation each year.  The 2017 General Assembly enacted legislation increasing the annual appropriation to $17.5 million.  The Foundation is governed by a 15-member board, all of whom are appointed by either the Governor, President Pro Tempore of the Senate, or the Speaker of the House. The Foundation provides grants to State agencies and component units, creating a financial benefit/burden relationship.</t>
  </si>
  <si>
    <t>The Centennial Authority (Authority) is a legally separate authority created to study, design, plan, construct, own, promote, finance and operate a regional facility in Wake County, North Carolina. The regional facility consists of an arena where sports, fitness, health, recreational, entertainment or cultural activities can be conducted. The Authority is governed by a 21-member board comprised
of ten members appointed by the North Carolina General Assembly, four members appointed by the Wake County Board of Commissioners, four members appointed by the Raleigh City Council, one member appointed by the Chancellor of North Carolina State University or the Chancellor’s designee, and two members appointed jointly by the mayors of all the cities in Wake County. The facility
is located on land owned by the State and leased to the Authority at an annual rent of $1 per year. Therefore, a financial benefit/burden relationship exists between the State and the Authority.</t>
  </si>
  <si>
    <t>Did your agency/university complete a government merger, a government acquisition, a transfer of</t>
  </si>
  <si>
    <t xml:space="preserve">If the answer to the above question is "Yes", indicate the type(s) of government combination(s) or disposal of </t>
  </si>
  <si>
    <t>operations:</t>
  </si>
  <si>
    <t>Disposal of operations</t>
  </si>
  <si>
    <t>(910) 399-9104</t>
  </si>
  <si>
    <t>Notes from direct borrowings-current</t>
  </si>
  <si>
    <t>Notes from direct borrowings</t>
  </si>
  <si>
    <t xml:space="preserve">GASB Statement 69 requires certain disclosures about an agency's government combinations and disposals of </t>
  </si>
  <si>
    <t>Net assets with donor restrictions</t>
  </si>
  <si>
    <t>Net assets without donor restrictions</t>
  </si>
  <si>
    <t>Malinda Peters</t>
  </si>
  <si>
    <t>(919) 733-7500</t>
  </si>
  <si>
    <t>(984) 236-0626</t>
  </si>
  <si>
    <t>(919) 814-5320</t>
  </si>
  <si>
    <t>Nancy Gemma</t>
  </si>
  <si>
    <t>Jason Cottle</t>
  </si>
  <si>
    <t>Beth Lane</t>
  </si>
  <si>
    <t>(919) 609-3421</t>
  </si>
  <si>
    <t>(919) 814-6719</t>
  </si>
  <si>
    <t>John Storment</t>
  </si>
  <si>
    <t>(984) 974-1043</t>
  </si>
  <si>
    <t>Gateway Research Park, Inc.</t>
  </si>
  <si>
    <t>Gateway Research Park is a component unit of the UNC System.</t>
  </si>
  <si>
    <t>7</t>
  </si>
  <si>
    <t>Natasha Farrington</t>
  </si>
  <si>
    <t>(919) 707-0657</t>
  </si>
  <si>
    <t>State aid - Coronavirus Relief Fund</t>
  </si>
  <si>
    <t xml:space="preserve">  512A</t>
  </si>
  <si>
    <t>Accrual Basis</t>
  </si>
  <si>
    <t>Total COVID-19 funds</t>
  </si>
  <si>
    <r>
      <t xml:space="preserve">Received </t>
    </r>
    <r>
      <rPr>
        <b/>
        <u/>
        <sz val="10"/>
        <rFont val="Arial"/>
        <family val="2"/>
      </rPr>
      <t>Directly</t>
    </r>
    <r>
      <rPr>
        <b/>
        <sz val="10"/>
        <rFont val="Arial"/>
        <family val="2"/>
      </rPr>
      <t xml:space="preserve"> </t>
    </r>
  </si>
  <si>
    <t>GASB Fund</t>
  </si>
  <si>
    <t>Budget Code</t>
  </si>
  <si>
    <t>Full Center</t>
  </si>
  <si>
    <t>This is a required worksheet to be completed by NC Global TransPark and the NC Ports Authority.</t>
  </si>
  <si>
    <t>NA for Offline Entities</t>
  </si>
  <si>
    <t xml:space="preserve">coronavirus disease (COVID -19): </t>
  </si>
  <si>
    <t xml:space="preserve">    Federal Aid - COVID-19</t>
  </si>
  <si>
    <t>Federal Aid - COVID- 19</t>
  </si>
  <si>
    <t xml:space="preserve">Balances below the threshold should be recorded as other payables.  </t>
  </si>
  <si>
    <t>Advances To Other Funds/Component Units/Entities Outside State Reporting Entity</t>
  </si>
  <si>
    <r>
      <t xml:space="preserve">(THRESHOLD APPLICABLE </t>
    </r>
    <r>
      <rPr>
        <b/>
        <sz val="12"/>
        <color rgb="FFFF0000"/>
        <rFont val="Arial"/>
        <family val="2"/>
      </rPr>
      <t>EXCEPT</t>
    </r>
    <r>
      <rPr>
        <b/>
        <sz val="12"/>
        <rFont val="Arial"/>
        <family val="2"/>
      </rPr>
      <t xml:space="preserve"> Coronavirus Funds - SEE INSTRUCTIONS)</t>
    </r>
  </si>
  <si>
    <t>See NC OSC Policy 101.6 Net Position</t>
  </si>
  <si>
    <t>(agrees to total restricted amount above)</t>
  </si>
  <si>
    <t>The North Carolina State Ports Authority (Authority) is a legally separate authority established to operate the State's port facilities in Wilmington and Morehead City and an inland terminal in Charlotte. It is governed by an 11-member board, all of whom are appointed by either the Governor or the General Assembly. The State has obligated itself to provide significant funding to the
Authority; therefore, a financial benefit/burden relationship exists between the State and the Authority. Effective July 2011, the General Assembly enacted legislation that made the Authority subject to and under the direct supervision of the North Carolina Secretary of Transportation.</t>
  </si>
  <si>
    <t xml:space="preserve">Net assets with donor restrictions per FASB_Stmts </t>
  </si>
  <si>
    <t xml:space="preserve">An ARO is a legally enforceable liability associated with the retirement of certain tangible capital assets,  </t>
  </si>
  <si>
    <t>such as decommissioning of nuclear reactors and removal and disposal of X-ray machines and MRI machines.</t>
  </si>
  <si>
    <t>A government that has legal obligations to perform future asset retirement activities related to its tangible</t>
  </si>
  <si>
    <r>
      <t xml:space="preserve">capital assets </t>
    </r>
    <r>
      <rPr>
        <b/>
        <sz val="10"/>
        <rFont val="Arial"/>
        <family val="2"/>
      </rPr>
      <t>should recognize a liability when the liability is incurred and reasonably estimable</t>
    </r>
    <r>
      <rPr>
        <sz val="10"/>
        <rFont val="Arial"/>
        <family val="2"/>
      </rPr>
      <t>.</t>
    </r>
  </si>
  <si>
    <t xml:space="preserve">The incurrence of a liability includes the occurrence of both an external obligating event and an internal </t>
  </si>
  <si>
    <t xml:space="preserve">obligating event resulting from normal operations.  </t>
  </si>
  <si>
    <t xml:space="preserve">The occurrence of contamination that (1) is a result of normal operation of the tangible </t>
  </si>
  <si>
    <t>asset and (2) is not in the scope of Statement 49, as amended.</t>
  </si>
  <si>
    <t>NOTE:  If an ARO or portions thereof is not reasonably estimable, a government will not recognize the</t>
  </si>
  <si>
    <r>
      <t xml:space="preserve">ARO.  If your agency has an ARO that is not reasonably estimable, </t>
    </r>
    <r>
      <rPr>
        <b/>
        <sz val="10"/>
        <rFont val="Arial"/>
        <family val="2"/>
      </rPr>
      <t xml:space="preserve">provide disclosure of this fact and </t>
    </r>
  </si>
  <si>
    <t>Certain Asset Retirement Obligations - Accounting and Financial Reporting</t>
  </si>
  <si>
    <t>If this is the first year of recognizing an ARO, complete the section below:</t>
  </si>
  <si>
    <t>The measurement of an ARO should be based on the best estimate of the current value of outlays</t>
  </si>
  <si>
    <t xml:space="preserve">expected to be incurred.  </t>
  </si>
  <si>
    <t xml:space="preserve">The measurement of a deferred outflow of resources associated with an ARO should be the amount </t>
  </si>
  <si>
    <t xml:space="preserve">corresponding to the liability upon initial measurement.  </t>
  </si>
  <si>
    <t>Amortization of the deferred outflow of resources</t>
  </si>
  <si>
    <t xml:space="preserve">The amount of amortization recognized   </t>
  </si>
  <si>
    <t>In subsequent years of recognizing the ARO, complete the section below:</t>
  </si>
  <si>
    <t>Subsequent to initial measurement, a government should at least annually adjust the current value of its</t>
  </si>
  <si>
    <t>ARO for the effects of general inflation or deflation; and evaluate all relevant factors to determine whether</t>
  </si>
  <si>
    <t>the effect of one or more of those factors is expected to significantly increase or decrease the estimated</t>
  </si>
  <si>
    <t>outlays associated with the ARO.</t>
  </si>
  <si>
    <t>Adjustments to the ARO liability should be reported on worksheets 305 or 310</t>
  </si>
  <si>
    <t>A government should recognize a reduction of the deferred outflow of resource as an outflow of resources</t>
  </si>
  <si>
    <t>(expense) in a systematic and rational manner over a period of time:</t>
  </si>
  <si>
    <t xml:space="preserve">The amount of amortization recognized </t>
  </si>
  <si>
    <t>operations, or a disposal of operations during fiscal year 2021 (Indicate with an "X")?</t>
  </si>
  <si>
    <r>
      <rPr>
        <b/>
        <sz val="10"/>
        <color indexed="12"/>
        <rFont val="Arial"/>
        <family val="2"/>
      </rPr>
      <t>Directions</t>
    </r>
    <r>
      <rPr>
        <b/>
        <sz val="10"/>
        <rFont val="Arial"/>
        <family val="2"/>
      </rPr>
      <t xml:space="preserve">:  NC Global TransPark and NC Ports Authority are required to complete section A of this worksheet. The purpose of this </t>
    </r>
  </si>
  <si>
    <t xml:space="preserve">worksheet is to identify the amount of federal revenues (432XXX accounts) that have been received in response to the coronavirus disease </t>
  </si>
  <si>
    <r>
      <rPr>
        <b/>
        <sz val="10"/>
        <rFont val="Arial"/>
        <family val="2"/>
      </rPr>
      <t>A</t>
    </r>
    <r>
      <rPr>
        <sz val="10"/>
        <rFont val="Arial"/>
        <family val="2"/>
      </rPr>
      <t xml:space="preserve">. Did your entity receive COVID-19 revenues </t>
    </r>
    <r>
      <rPr>
        <u/>
        <sz val="10"/>
        <rFont val="Arial"/>
        <family val="2"/>
      </rPr>
      <t>directly</t>
    </r>
    <r>
      <rPr>
        <sz val="10"/>
        <rFont val="Arial"/>
        <family val="2"/>
      </rPr>
      <t xml:space="preserve"> from federal agencies (not indirectly from another state or local agency)?</t>
    </r>
  </si>
  <si>
    <r>
      <rPr>
        <b/>
        <sz val="10"/>
        <rFont val="Arial"/>
        <family val="2"/>
      </rPr>
      <t>B.</t>
    </r>
    <r>
      <rPr>
        <sz val="10"/>
        <rFont val="Arial"/>
        <family val="2"/>
      </rPr>
      <t xml:space="preserve"> If you answered yes in section A, provide the following information for federal revenues received directly from federal agencies in response to the </t>
    </r>
  </si>
  <si>
    <t>Federal Fund Revenues</t>
  </si>
  <si>
    <t>Account Number (432XXX)</t>
  </si>
  <si>
    <r>
      <t xml:space="preserve">guidelines listed above in the Annual Report </t>
    </r>
    <r>
      <rPr>
        <b/>
        <sz val="10"/>
        <rFont val="Arial"/>
        <family val="2"/>
      </rPr>
      <t>Package Narratives Worksheet 345.</t>
    </r>
  </si>
  <si>
    <r>
      <t xml:space="preserve">       or in the Annual Report</t>
    </r>
    <r>
      <rPr>
        <b/>
        <sz val="10"/>
        <rFont val="Arial"/>
        <family val="2"/>
      </rPr>
      <t xml:space="preserve"> Package Narratives Worksheet 345.</t>
    </r>
  </si>
  <si>
    <t>(Agrees to DSS 11P)</t>
  </si>
  <si>
    <t xml:space="preserve">submission of your package but prior to November 30, please contact the Office of the State </t>
  </si>
  <si>
    <t>Other examples are creation of a new component unit, Loss due to a natural disaster- fire, tornado, hurricane, flood etc.</t>
  </si>
  <si>
    <t>agency's preparation of its statements for which the State is obligated in some manner for this debt?</t>
  </si>
  <si>
    <t>Explain YES in the Package Narratives.</t>
  </si>
  <si>
    <t>up to the date of this agency's preparation of its statements which require disclosure as described above?</t>
  </si>
  <si>
    <r>
      <t xml:space="preserve">government operations. The required disclosures should be provided in the attached </t>
    </r>
    <r>
      <rPr>
        <b/>
        <u/>
        <sz val="10"/>
        <rFont val="Arial"/>
        <family val="2"/>
      </rPr>
      <t>Package Narratives</t>
    </r>
    <r>
      <rPr>
        <sz val="10"/>
        <rFont val="Arial"/>
        <family val="2"/>
      </rPr>
      <t>.</t>
    </r>
  </si>
  <si>
    <t>AnnualReport_
Stmts</t>
  </si>
  <si>
    <t>Offline Component Unit Financial Statements - Comprehensive Annual Financial Report Format</t>
  </si>
  <si>
    <t>Offline FASB Component Unit Adjustments - 
To convert to GASB format for Comprehensive Annual Financial Report</t>
  </si>
  <si>
    <t>Financial Reporting for Federal Coronavirus (COVID-19) Funds (375)</t>
  </si>
  <si>
    <t xml:space="preserve">Financial Reporting for Federal Coronavirus (COVID- 19) </t>
  </si>
  <si>
    <t>List of Offline Nonmajor Component Units and Ending Net Position per prior year Comprehensive Annual Financial Report</t>
  </si>
  <si>
    <t>Prior Year Balances per Comprehensive Annual Financial Report for Analytical Review</t>
  </si>
  <si>
    <t>Prior Year Balances per Comprehensive Annual Report for Analytical Review</t>
  </si>
  <si>
    <r>
      <t xml:space="preserve">The required disclosures should be provided in the attached </t>
    </r>
    <r>
      <rPr>
        <b/>
        <u/>
        <sz val="10"/>
        <rFont val="Arial"/>
        <family val="2"/>
      </rPr>
      <t>Annual Report Package Narratives</t>
    </r>
    <r>
      <rPr>
        <sz val="10"/>
        <rFont val="Arial"/>
        <family val="2"/>
      </rPr>
      <t>.</t>
    </r>
  </si>
  <si>
    <t xml:space="preserve">Agrees to Statement of Net Position </t>
  </si>
  <si>
    <r>
      <t>another state or local agency)</t>
    </r>
    <r>
      <rPr>
        <b/>
        <sz val="10"/>
        <rFont val="Arial"/>
        <family val="2"/>
      </rPr>
      <t xml:space="preserve"> is required to complete the information in section B of this worksheet</t>
    </r>
    <r>
      <rPr>
        <sz val="10"/>
        <rFont val="Arial"/>
        <family val="2"/>
      </rPr>
      <t xml:space="preserve">. If more space is needed, an additional tab can be </t>
    </r>
  </si>
  <si>
    <t>section B below. See Worksheet Instructions for more information.</t>
  </si>
  <si>
    <t>FCCS Entity</t>
  </si>
  <si>
    <t>*Enter FCCS equivalent entity. Example - 26110G</t>
  </si>
  <si>
    <t>FCCS Agency</t>
  </si>
  <si>
    <t>*Enter FCCS equivalent Agency. Example - 0A00</t>
  </si>
  <si>
    <t>129Pensn</t>
  </si>
  <si>
    <t>11R11000</t>
  </si>
  <si>
    <t>DueOneYear</t>
  </si>
  <si>
    <t>DueMoreOneYear</t>
  </si>
  <si>
    <t>NetinvestmentCapitalAssets</t>
  </si>
  <si>
    <t>UnRestricted</t>
  </si>
  <si>
    <t>421COVID</t>
  </si>
  <si>
    <t>42DAA000</t>
  </si>
  <si>
    <t>UnrestInvEarn</t>
  </si>
  <si>
    <t>CapProjectsReno</t>
  </si>
  <si>
    <t>Higher Ed</t>
  </si>
  <si>
    <t>HHS</t>
  </si>
  <si>
    <t>Econ Dev</t>
  </si>
  <si>
    <t>No Function</t>
  </si>
  <si>
    <t>OthPur</t>
  </si>
  <si>
    <t xml:space="preserve">    State aid - Coronavirus </t>
  </si>
  <si>
    <t xml:space="preserve">State aid - Coronavirus </t>
  </si>
  <si>
    <t>0A00</t>
  </si>
  <si>
    <t>Z200</t>
  </si>
  <si>
    <t>Z300</t>
  </si>
  <si>
    <t>Z700</t>
  </si>
  <si>
    <t>ZA00</t>
  </si>
  <si>
    <t>ZB00</t>
  </si>
  <si>
    <t>ZG00</t>
  </si>
  <si>
    <t>ZH00</t>
  </si>
  <si>
    <t>ZI00</t>
  </si>
  <si>
    <t>ZM00</t>
  </si>
  <si>
    <t>Agency Number</t>
  </si>
  <si>
    <t>NCFS Agency</t>
  </si>
  <si>
    <t>NCFS Entity</t>
  </si>
  <si>
    <t>26110G</t>
  </si>
  <si>
    <t>26180G</t>
  </si>
  <si>
    <t>26151G</t>
  </si>
  <si>
    <t>26210G</t>
  </si>
  <si>
    <t>26200G</t>
  </si>
  <si>
    <t>26260G</t>
  </si>
  <si>
    <t>26270G</t>
  </si>
  <si>
    <t>26400G</t>
  </si>
  <si>
    <t>26440G</t>
  </si>
  <si>
    <t>Rachel McDonald</t>
  </si>
  <si>
    <t>Ann Anderson</t>
  </si>
  <si>
    <t>Bryan Matthews</t>
  </si>
  <si>
    <t>Allis Talley-Burton</t>
  </si>
  <si>
    <t>(919) 324-1045</t>
  </si>
  <si>
    <t>Michael Griffin</t>
  </si>
  <si>
    <t>(984) 974-1260</t>
  </si>
  <si>
    <t>Carolyn Perkins</t>
  </si>
  <si>
    <t>(984) 784-3479</t>
  </si>
  <si>
    <t>Lisa Culbreth</t>
  </si>
  <si>
    <t>(919) 707-7743</t>
  </si>
  <si>
    <t>Darlene Langston</t>
  </si>
  <si>
    <t>Antonio McDaniel</t>
  </si>
  <si>
    <t>(919) 530-5422</t>
  </si>
  <si>
    <t>Taylor Davies</t>
  </si>
  <si>
    <t>(919)875-3761</t>
  </si>
  <si>
    <t xml:space="preserve">NC BIOTECHNOLOGY CENTER, ECONOMIC DEVELOPMENT PARTNERSHIP of NC, AND PORTS </t>
  </si>
  <si>
    <t xml:space="preserve">AUTHORITY </t>
  </si>
  <si>
    <t>Advances to Outside Entities</t>
  </si>
  <si>
    <r>
      <t>Advances to Outside Entities</t>
    </r>
    <r>
      <rPr>
        <vertAlign val="superscript"/>
        <sz val="8"/>
        <rFont val="Arial"/>
        <family val="2"/>
      </rPr>
      <t xml:space="preserve"> </t>
    </r>
  </si>
  <si>
    <t>Advances to Outside Entities (ws 535)</t>
  </si>
  <si>
    <t>Noncapital Contributions</t>
  </si>
  <si>
    <t>Angela Johnston</t>
  </si>
  <si>
    <t>(919) 890-1022</t>
  </si>
  <si>
    <t xml:space="preserve">    8/15/22 for Tier 1 Entities</t>
  </si>
  <si>
    <t xml:space="preserve">    8/22/22 for Tier 2 Entities</t>
  </si>
  <si>
    <t xml:space="preserve">    8/26/22 for Tier 3 Entities</t>
  </si>
  <si>
    <t xml:space="preserve">    8/29/22 for all other Entities</t>
  </si>
  <si>
    <t xml:space="preserve">ALL updates made to the package after April 29, 2022, will be listed on the "Pkg Updates" tab.  </t>
  </si>
  <si>
    <t>Package Updates made after April 29, 2022</t>
  </si>
  <si>
    <t>Your ACFR filename is:</t>
  </si>
  <si>
    <t>GASB 87 - Restated Lease Receivable</t>
  </si>
  <si>
    <t>GASB 87 - Restated Deferred Inflows Leases</t>
  </si>
  <si>
    <t>GASB 87 - Restated Right to Use Assets: Operating Leases</t>
  </si>
  <si>
    <t>GASB 87 - Restated Lease Liability: Operating Leases</t>
  </si>
  <si>
    <t>GASB 87 - Restated Right to Use Assets: Capital Leases</t>
  </si>
  <si>
    <t>GASB 87 - Restated Lease Liability: Capital Leases</t>
  </si>
  <si>
    <t>Annual Report E-PACKAGE FILENAME</t>
  </si>
  <si>
    <r>
      <rPr>
        <b/>
        <sz val="10"/>
        <rFont val="Tahoma"/>
        <family val="2"/>
      </rPr>
      <t>OSC Only:  Verify</t>
    </r>
    <r>
      <rPr>
        <sz val="10"/>
        <rFont val="Tahoma"/>
        <family val="2"/>
      </rPr>
      <t xml:space="preserve"> the FCCS Agency on the ACFR_Stmts WS is the 2 digit CU number on the Index tab </t>
    </r>
  </si>
  <si>
    <t>ACFR_Stmts Statement of Net Position is in Balance</t>
  </si>
  <si>
    <t>Variances Analytical review end of year balance sheet = Net position end of year statement of net position 2022</t>
  </si>
  <si>
    <t>Variances Analytical review end of year balance sheet = Net position end of year statement of net position 2021</t>
  </si>
  <si>
    <t>Worksheet 110 question is answered appropriately</t>
  </si>
  <si>
    <t xml:space="preserve">Worksheet 120 question yes/no is answered </t>
  </si>
  <si>
    <t>Worksheet 120 combination/disposal category answered or not applicable</t>
  </si>
  <si>
    <t>Worksheet 345 questions are answered appropriately</t>
  </si>
  <si>
    <t>Worksheet 355 subsequent event explanation provided if applicable</t>
  </si>
  <si>
    <t>Worksheet 355 other items explanation provided if applicable</t>
  </si>
  <si>
    <t>Worksheet 602 completed showing TSERS, RHBF, &amp; DIPNC contributions</t>
  </si>
  <si>
    <t>Worksheet 610 employer's share of medical insurance premiums paid to State Health Plan is reported</t>
  </si>
  <si>
    <t>Dashboard</t>
  </si>
  <si>
    <t>Foundation is consolidated with the TransPark for reporting in the ACFR.</t>
  </si>
  <si>
    <t>of your entity) effective for fiscal year 2022 or subsequent years?</t>
  </si>
  <si>
    <t>2022 or subsequent years?</t>
  </si>
  <si>
    <t>ACFR Stmts Statement of Activities equals Balance Sheet</t>
  </si>
  <si>
    <t>Worksheet 338 question is answered appropriatley</t>
  </si>
  <si>
    <t>Total restatements Exhibit 430 = Restatement amount on ACFR_Stmts</t>
  </si>
  <si>
    <t>Worksheet 115 questions #1 answered</t>
  </si>
  <si>
    <t>Worksheet 115 questions #2 answered</t>
  </si>
  <si>
    <t>Worksheet 115 questions #3 answered</t>
  </si>
  <si>
    <t>Worksheet 115 questions #4A answered</t>
  </si>
  <si>
    <t>Worksheet 115 questions #4B answered</t>
  </si>
  <si>
    <t>Total 2022 TSERS' employer contributions</t>
  </si>
  <si>
    <t>This should be the same amount that you keyed into the GASB 68 template for FY2022 employer</t>
  </si>
  <si>
    <t>Total 2022 RHBF employer contributions</t>
  </si>
  <si>
    <t>This should be the same amount that you keyed into the GASB 75 template for FY2022 employer</t>
  </si>
  <si>
    <t>Total 2022 DIPNC employer contributions</t>
  </si>
  <si>
    <t>Variances balance sheet is in balance 2022</t>
  </si>
  <si>
    <t>Variances balance sheet is in balance 2021</t>
  </si>
  <si>
    <t>subsequent to June 30 and up to the date of ACFR preparation.</t>
  </si>
  <si>
    <t xml:space="preserve">The issuance and sale of revenue bonds is a prime example of a subsequent event.  For ACFR reporting </t>
  </si>
  <si>
    <t>Economic Development Partnership of North Carolina (EDPNC) is a legally separate nonprofit corporation created to consolidate and enhance the State’s economic development marketing and sales functions previously conducted by the N.C. Department of Commerce. These functions include export promotion, tourism marketing, existing industry support, small business assistance, and business
recruitment. EDPNC is governed by a 18-member board comprised of nine members appointed by the Governor and eight members appointed by the North Carolina General Assembly and the Secretary of the North Carolina Department of Commerce as an ex officio member. The State has the ability to remove board members at will. The State’s contract with EDPNC provides recurring financial support to EDPNC, creating a financial benefit/burden relationship.</t>
  </si>
  <si>
    <t>Worksheet 375 subsequent event explanation provided if applicable</t>
  </si>
  <si>
    <t>Note: If you make any changes on the Tabs-you must use the delete key to clear cell information on Tabs</t>
  </si>
  <si>
    <t>Worksheet 355 questions #1 answered</t>
  </si>
  <si>
    <t>Worksheet 355 questions #2 answered</t>
  </si>
  <si>
    <t>Worksheet 355 questions #3 answered</t>
  </si>
  <si>
    <r>
      <t xml:space="preserve">Worksheet 375 question yes/no is answered  </t>
    </r>
    <r>
      <rPr>
        <b/>
        <sz val="9"/>
        <color rgb="FFFF0000"/>
        <rFont val="Arial"/>
        <family val="2"/>
      </rPr>
      <t>(Only for NC Global TransPark/NC Ports Authority)</t>
    </r>
  </si>
  <si>
    <r>
      <t xml:space="preserve">Worksheet 420 Restricted Net Position Identified  </t>
    </r>
    <r>
      <rPr>
        <b/>
        <sz val="9"/>
        <color rgb="FFFF0000"/>
        <rFont val="Arial"/>
        <family val="2"/>
      </rPr>
      <t>(NC Global TransPark/NC Ports Authority)</t>
    </r>
  </si>
  <si>
    <t>Leases payable-current</t>
  </si>
  <si>
    <t>New FY 2022</t>
  </si>
  <si>
    <t>Leases payable</t>
  </si>
  <si>
    <t>Lease receivable</t>
  </si>
  <si>
    <t>Less: Leases payable</t>
  </si>
  <si>
    <t>Restricted, expendable net position per ACFR_Stmts</t>
  </si>
  <si>
    <t>Unrestricted net position per ACFR_Stmts</t>
  </si>
  <si>
    <t>Lease receivable, net</t>
  </si>
  <si>
    <t>Deferred inflows for lease agreements</t>
  </si>
  <si>
    <r>
      <rPr>
        <b/>
        <sz val="10"/>
        <rFont val="Arial"/>
        <family val="2"/>
      </rPr>
      <t>(COVID-19)</t>
    </r>
    <r>
      <rPr>
        <sz val="10"/>
        <rFont val="Arial"/>
        <family val="2"/>
      </rPr>
      <t xml:space="preserve"> including federal funding from the Coronavirus Aid, Relief, and Economic Security (CARES) Act and American Rescue Plan Act (ARPA) in order  </t>
    </r>
  </si>
  <si>
    <r>
      <t xml:space="preserve">for OSC to properly report the information in the ACFR. </t>
    </r>
    <r>
      <rPr>
        <b/>
        <sz val="10"/>
        <rFont val="Arial"/>
        <family val="2"/>
      </rPr>
      <t xml:space="preserve">Any entity that received COVID-19 funds </t>
    </r>
    <r>
      <rPr>
        <b/>
        <u/>
        <sz val="10"/>
        <rFont val="Arial"/>
        <family val="2"/>
      </rPr>
      <t>directly</t>
    </r>
    <r>
      <rPr>
        <b/>
        <sz val="10"/>
        <rFont val="Arial"/>
        <family val="2"/>
      </rPr>
      <t xml:space="preserve"> from federal agencies</t>
    </r>
    <r>
      <rPr>
        <sz val="10"/>
        <rFont val="Arial"/>
        <family val="2"/>
      </rPr>
      <t xml:space="preserve"> (not indirectly from </t>
    </r>
  </si>
  <si>
    <t xml:space="preserve">added to this workbook or you can submit a separate spreadsheet with the ACFR package. If additional information is provided, add a reference in </t>
  </si>
  <si>
    <t>Lease interest revenue</t>
  </si>
  <si>
    <t>Phone Number/</t>
  </si>
  <si>
    <t xml:space="preserve">Email </t>
  </si>
  <si>
    <t xml:space="preserve">Confirmation </t>
  </si>
  <si>
    <t>Date</t>
  </si>
  <si>
    <t>Restricted Due from Prim Gov</t>
  </si>
  <si>
    <t>Due From Comp Unit</t>
  </si>
  <si>
    <t>Lease payable</t>
  </si>
  <si>
    <t>Lease Payable</t>
  </si>
  <si>
    <t>as of 6/30/2022</t>
  </si>
  <si>
    <t>Also see ACFR worksheet instructions.</t>
  </si>
  <si>
    <t xml:space="preserve">the reasons thereof in the attached ACFR Package Narratives. </t>
  </si>
  <si>
    <r>
      <t xml:space="preserve">required disclosures should be provided in the attached </t>
    </r>
    <r>
      <rPr>
        <b/>
        <u/>
        <sz val="10"/>
        <rFont val="Arial"/>
        <family val="2"/>
      </rPr>
      <t>ACFR Package Narratives</t>
    </r>
    <r>
      <rPr>
        <sz val="10"/>
        <rFont val="Arial"/>
        <family val="2"/>
      </rPr>
      <t>.</t>
    </r>
  </si>
  <si>
    <r>
      <t xml:space="preserve">As part of the statewide ACFR compilation for GASB 68, OSC is required to report the </t>
    </r>
    <r>
      <rPr>
        <b/>
        <sz val="10"/>
        <color theme="1"/>
        <rFont val="Arial"/>
        <family val="2"/>
      </rPr>
      <t>TSERS'</t>
    </r>
    <r>
      <rPr>
        <sz val="10"/>
        <color theme="1"/>
        <rFont val="Arial"/>
        <family val="2"/>
      </rPr>
      <t xml:space="preserve"> employer</t>
    </r>
  </si>
  <si>
    <r>
      <t xml:space="preserve">As part of the statewide ACFR compilation for GASB 75, OSC is required to report the </t>
    </r>
    <r>
      <rPr>
        <b/>
        <sz val="10"/>
        <color theme="1"/>
        <rFont val="Arial"/>
        <family val="2"/>
      </rPr>
      <t>RHBF</t>
    </r>
    <r>
      <rPr>
        <sz val="10"/>
        <color theme="1"/>
        <rFont val="Arial"/>
        <family val="2"/>
      </rPr>
      <t xml:space="preserve"> employer</t>
    </r>
  </si>
  <si>
    <r>
      <t xml:space="preserve">As part of the statewide ACFR compilation for GASB 75, OSC is required to report the </t>
    </r>
    <r>
      <rPr>
        <b/>
        <sz val="10"/>
        <color theme="1"/>
        <rFont val="Arial"/>
        <family val="2"/>
      </rPr>
      <t>DIPNC</t>
    </r>
    <r>
      <rPr>
        <sz val="10"/>
        <color theme="1"/>
        <rFont val="Arial"/>
        <family val="2"/>
      </rPr>
      <t xml:space="preserve"> employer</t>
    </r>
  </si>
  <si>
    <t xml:space="preserve">Worksheet 625 If there is a Comment required from Analycial Review it is provided here </t>
  </si>
  <si>
    <t>Davidson-Davie Community College</t>
  </si>
  <si>
    <t>Worksheet 515 = Due from Primary Government</t>
  </si>
  <si>
    <t>Worksheet 515 = Restricted due from Primary Government</t>
  </si>
  <si>
    <t>Worksheet 520 = Due to Primary Government</t>
  </si>
  <si>
    <t>Worksheet 525 = Due from Component Unit</t>
  </si>
  <si>
    <t>Worksheet 525 = Restricted due from Component Unit</t>
  </si>
  <si>
    <t>Worksheet 530 = Due to Component Unit</t>
  </si>
  <si>
    <t>Worksheet 535 = Advances from Primary Government</t>
  </si>
  <si>
    <t>Worksheet 535 = Advances to Other Funds/Comp Units/Entities</t>
  </si>
  <si>
    <t>Financial Reporting Update for GASB 83.</t>
  </si>
  <si>
    <r>
      <rPr>
        <b/>
        <sz val="10"/>
        <rFont val="Tahoma"/>
        <family val="2"/>
      </rPr>
      <t>OSC Only:  Verify</t>
    </r>
    <r>
      <rPr>
        <sz val="10"/>
        <rFont val="Tahoma"/>
        <family val="2"/>
      </rPr>
      <t xml:space="preserve"> the FCCS Entity on the ACFR_Stmts WS is ??????</t>
    </r>
    <r>
      <rPr>
        <sz val="10"/>
        <color rgb="FFFF0000"/>
        <rFont val="Tahoma"/>
        <family val="2"/>
      </rPr>
      <t xml:space="preserve"> </t>
    </r>
    <r>
      <rPr>
        <b/>
        <sz val="10"/>
        <color rgb="FFFF0000"/>
        <rFont val="Tahoma"/>
        <family val="2"/>
      </rPr>
      <t>(only for entities not on NCAS)</t>
    </r>
  </si>
  <si>
    <r>
      <t>for that CU followed by two zeros</t>
    </r>
    <r>
      <rPr>
        <sz val="10"/>
        <color rgb="FFFF0000"/>
        <rFont val="Tahoma"/>
        <family val="2"/>
      </rPr>
      <t xml:space="preserve"> </t>
    </r>
    <r>
      <rPr>
        <b/>
        <sz val="10"/>
        <color rgb="FFFF0000"/>
        <rFont val="Tahoma"/>
        <family val="2"/>
      </rPr>
      <t>(only for entities not on NCAS)</t>
    </r>
  </si>
  <si>
    <t>Wendy Emerson</t>
  </si>
  <si>
    <t>(336) 770-3304</t>
  </si>
  <si>
    <t>Larry Price</t>
  </si>
  <si>
    <t>919-447-7807</t>
  </si>
  <si>
    <t>askdfjal;jdskf;</t>
  </si>
  <si>
    <t>Elizabeth Moreno</t>
  </si>
  <si>
    <t>(984) 236-0082</t>
  </si>
  <si>
    <t>Amanda Nash</t>
  </si>
  <si>
    <t>(336) 334-5180</t>
  </si>
  <si>
    <t>Melissa Roberts</t>
  </si>
  <si>
    <t>Vinent Falvo</t>
  </si>
  <si>
    <t>(252) 737-1140</t>
  </si>
  <si>
    <t>Trisha Burnett</t>
  </si>
  <si>
    <t>(828) 227-3114</t>
  </si>
  <si>
    <t>Michelle Donegain</t>
  </si>
  <si>
    <t>910-521-6583</t>
  </si>
  <si>
    <t>Randy Bennett</t>
  </si>
  <si>
    <t>(336) 750-2733</t>
  </si>
  <si>
    <t>Lisa Rash</t>
  </si>
  <si>
    <t>Michelle Jeng</t>
  </si>
  <si>
    <t>Erica Smith</t>
  </si>
  <si>
    <t>Christopher Crepps</t>
  </si>
  <si>
    <t>Kristabell Certain</t>
  </si>
  <si>
    <t>828-398-7358</t>
  </si>
  <si>
    <t>Gay Roberson</t>
  </si>
  <si>
    <t>252-940-6248</t>
  </si>
  <si>
    <t>Lacie Jacobs</t>
  </si>
  <si>
    <t>910-879-5500</t>
  </si>
  <si>
    <t>Carolyn Alley</t>
  </si>
  <si>
    <t>828-697-1730</t>
  </si>
  <si>
    <t>Santresa Culpepper</t>
  </si>
  <si>
    <t>910-755-7314</t>
  </si>
  <si>
    <t>Lindsay Cooley</t>
  </si>
  <si>
    <t>Donna Cumbie</t>
  </si>
  <si>
    <t>252-222-6161</t>
  </si>
  <si>
    <t>Shirley Swanson</t>
  </si>
  <si>
    <t>828-327-7000 x4508</t>
  </si>
  <si>
    <t>Brian Bridgers</t>
  </si>
  <si>
    <t>Lauren Gates</t>
  </si>
  <si>
    <t>704-330-6709</t>
  </si>
  <si>
    <t>Pam Boling</t>
  </si>
  <si>
    <t>704-669-4109</t>
  </si>
  <si>
    <t>Susan Gentry</t>
  </si>
  <si>
    <t>252-335-0821 x2214</t>
  </si>
  <si>
    <t>Christine Hurst</t>
  </si>
  <si>
    <t>252-637-5740</t>
  </si>
  <si>
    <t>Jennifer Starsick</t>
  </si>
  <si>
    <t>336-224-4661</t>
  </si>
  <si>
    <t>Andrew Kleitsch</t>
  </si>
  <si>
    <t>919-536-7201 x1001</t>
  </si>
  <si>
    <t>Pamela Twitty</t>
  </si>
  <si>
    <t>252-618-6506</t>
  </si>
  <si>
    <t>910-678-8250</t>
  </si>
  <si>
    <t>Kathryn Alexander</t>
  </si>
  <si>
    <t>336-734-7367</t>
  </si>
  <si>
    <t>Shelly Alman</t>
  </si>
  <si>
    <t>(704) 922-6405</t>
  </si>
  <si>
    <t>Kathi Riffe</t>
  </si>
  <si>
    <t>336-334-4822 x50457</t>
  </si>
  <si>
    <t>Sanethia Smith</t>
  </si>
  <si>
    <t>252-538-4304</t>
  </si>
  <si>
    <t>828-395-1296</t>
  </si>
  <si>
    <t>910-275-6127</t>
  </si>
  <si>
    <t>David Webb</t>
  </si>
  <si>
    <t>JD Gibbs</t>
  </si>
  <si>
    <t>Tammy Bailey</t>
  </si>
  <si>
    <t>252-789-0225</t>
  </si>
  <si>
    <t>Cynthia Renfro</t>
  </si>
  <si>
    <t>828-766-1228</t>
  </si>
  <si>
    <t>Richard Mauney</t>
  </si>
  <si>
    <t>828-652-0600</t>
  </si>
  <si>
    <t>Jonathan Harris</t>
  </si>
  <si>
    <t>704-978-1307</t>
  </si>
  <si>
    <t>Tonya Luck</t>
  </si>
  <si>
    <t>910-898-9631</t>
  </si>
  <si>
    <t>252-249-1851 x3003</t>
  </si>
  <si>
    <t>336-322-2117</t>
  </si>
  <si>
    <t>Angela Peadan</t>
  </si>
  <si>
    <t>252-493-7257</t>
  </si>
  <si>
    <t>336-625-5607</t>
  </si>
  <si>
    <t>Carrie Douglas</t>
  </si>
  <si>
    <t>252-862-1229</t>
  </si>
  <si>
    <t>Gloria Moore</t>
  </si>
  <si>
    <t>Norma Brice</t>
  </si>
  <si>
    <t>910-900-4060 x2012</t>
  </si>
  <si>
    <t>Katie du Pont</t>
  </si>
  <si>
    <t>910-246-4950</t>
  </si>
  <si>
    <t>Jennifer Ricketts</t>
  </si>
  <si>
    <t>704-272-5356</t>
  </si>
  <si>
    <t>Donna Turbeville</t>
  </si>
  <si>
    <t>910-788-6203</t>
  </si>
  <si>
    <t>828-339-4473</t>
  </si>
  <si>
    <t>Kimberly Bradshaw</t>
  </si>
  <si>
    <t>704-991-0206</t>
  </si>
  <si>
    <t>Tony Martin</t>
  </si>
  <si>
    <t>336-386-3222</t>
  </si>
  <si>
    <t>Bill Vespasian</t>
  </si>
  <si>
    <t>828-835-4211</t>
  </si>
  <si>
    <t>Lori Hirth</t>
  </si>
  <si>
    <t>252-738-3472</t>
  </si>
  <si>
    <t>919-866-5901</t>
  </si>
  <si>
    <t>919-739-7098</t>
  </si>
  <si>
    <t>Monica Arney</t>
  </si>
  <si>
    <t>828-448-3129</t>
  </si>
  <si>
    <t>252-246-1221</t>
  </si>
  <si>
    <t>2022 ACFR Agency  Name</t>
  </si>
  <si>
    <t>ACFR</t>
  </si>
  <si>
    <t>For ACFR:</t>
  </si>
  <si>
    <t>ACFR contact name</t>
  </si>
  <si>
    <t>ACFR contact telephone</t>
  </si>
  <si>
    <t>For Comp Unit ACFR Package</t>
  </si>
  <si>
    <t>Changes for 2022/Comments</t>
  </si>
  <si>
    <r>
      <rPr>
        <b/>
        <sz val="8"/>
        <rFont val="Calibri"/>
        <family val="2"/>
      </rPr>
      <t>²</t>
    </r>
    <r>
      <rPr>
        <sz val="8"/>
        <rFont val="Times New Roman"/>
        <family val="1"/>
      </rPr>
      <t xml:space="preserve"> Offline ACFR reporting for all universities starting FY 2012. Still use NCAS for monthly reporting.</t>
    </r>
  </si>
  <si>
    <t>Reclassified to nonmajor based on GASB 61; NCAS interface monthly, Offline ACFR</t>
  </si>
  <si>
    <t>Resumed as component unit for FY 2013(last time in ACFR was 1999)</t>
  </si>
  <si>
    <t>Accounting data included in the North Carolina Accounting System, and ACFR reporting from NCAS</t>
  </si>
  <si>
    <t>Full accounting data not in NCAS, so paper reporting for ACFR; agency uses another accounting system</t>
  </si>
  <si>
    <t xml:space="preserve">Note:  All entities complete the NCASexcl ACFR package, except the Community Colleges </t>
  </si>
  <si>
    <r>
      <t xml:space="preserve">and the </t>
    </r>
    <r>
      <rPr>
        <u/>
        <sz val="12"/>
        <rFont val="Times New Roman"/>
        <family val="1"/>
      </rPr>
      <t>nonmajor</t>
    </r>
    <r>
      <rPr>
        <sz val="12"/>
        <rFont val="Times New Roman"/>
        <family val="1"/>
      </rPr>
      <t xml:space="preserve"> component units which have separate ACFR packages.</t>
    </r>
  </si>
  <si>
    <t>2022 Offline Nonmajor Component Units</t>
  </si>
  <si>
    <t>Per Prior Yr ACFR</t>
  </si>
  <si>
    <t>For beginning net position for 2022 ACFR</t>
  </si>
  <si>
    <t>DP Singla</t>
  </si>
  <si>
    <t>(919) 707-0081</t>
  </si>
  <si>
    <t>0A NC Housing Finance Agency</t>
  </si>
  <si>
    <t>as separate attachments to your ACFR Package. Please highlight all changes in yellow (if possible).</t>
  </si>
  <si>
    <t>In the State ACFR (Note 1A - Financial Reporting Entity), OSC is required to disclose the following:</t>
  </si>
  <si>
    <t>entity's disclosures that were included in the State ACFR for fiscal year 2021, select agency below:</t>
  </si>
  <si>
    <t>Offline Component Unit Financial Statements - Annual Comprehensive Financial Report Format</t>
  </si>
  <si>
    <t>Changed references to Annual Report to ACFR</t>
  </si>
  <si>
    <t>File revision date: 6/3/2022</t>
  </si>
  <si>
    <t>Kim Battle</t>
  </si>
  <si>
    <t>no-minor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</si>
</sst>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_);\(#,##0.00\);* \ \-\ \ \ \ \ "/>
    <numFmt numFmtId="165" formatCode="* #,###\ ;* \(#,###\);* \-\ \ \ \ \ \ "/>
    <numFmt numFmtId="166" formatCode="&quot;$&quot;* #,###\ ;&quot;$&quot;* \(#,###\);&quot;$&quot;* \-\ \ \ \ \ \ "/>
    <numFmt numFmtId="167" formatCode="#,###\ ;\(#,###\);@*."/>
    <numFmt numFmtId="168" formatCode="0.00%\ ;\(0.00\)%"/>
    <numFmt numFmtId="169" formatCode="#,##0.00_);\(#,##0.00\);\—\ \ \ \ \ \ "/>
    <numFmt numFmtId="170" formatCode="&quot;$&quot;* #,##0.00_);&quot;$&quot;* \(#,##0.00\);&quot;$&quot;* \—\ \ \ \ \ \ "/>
    <numFmt numFmtId="171" formatCode="[&lt;=9999999]###\-####;\(###\)\ ###\-####"/>
    <numFmt numFmtId="172" formatCode="#,##0_);\(#,##0\);&quot;-       &quot;"/>
    <numFmt numFmtId="173" formatCode="#,##0.00_);\(#,##0.00\);;"/>
    <numFmt numFmtId="174" formatCode="#,###\ ;\(#,###\)"/>
    <numFmt numFmtId="175" formatCode="#,###\ ;\(#,###\);@"/>
    <numFmt numFmtId="176" formatCode="m/d/yyyy;@"/>
    <numFmt numFmtId="177" formatCode="#,###\ ;\(#,###\);\ \ \ \ @*."/>
    <numFmt numFmtId="178" formatCode="&quot;$&quot;#,##0\ ;\(&quot;$&quot;#,##0\);@*."/>
    <numFmt numFmtId="179" formatCode="#,##0_);\(#,##0\);\—\ \ \ \ \ \ "/>
    <numFmt numFmtId="180" formatCode="#,##0.000000000_);\(#,##0.000000000\);\—\ \ \ \ \ \ "/>
    <numFmt numFmtId="181" formatCode="[$-409]mmmm\ d\,\ yyyy;@"/>
    <numFmt numFmtId="182" formatCode="#,##0.00_);\(#,##0.00\);"/>
    <numFmt numFmtId="183" formatCode="0_);\(0\)"/>
    <numFmt numFmtId="184" formatCode="mm/dd/yy;@"/>
  </numFmts>
  <fonts count="205" x14ac:knownFonts="1">
    <font>
      <sz val="10"/>
      <name val="Arial"/>
    </font>
    <font>
      <sz val="11"/>
      <color theme="1"/>
      <name val="Calibri"/>
      <family val="2"/>
      <scheme val="minor"/>
    </font>
    <font>
      <sz val="10"/>
      <name val="Arial"/>
      <family val="2"/>
    </font>
    <font>
      <b/>
      <sz val="10"/>
      <name val="Arial"/>
      <family val="2"/>
    </font>
    <font>
      <sz val="12"/>
      <name val="Arial"/>
      <family val="2"/>
    </font>
    <font>
      <sz val="10"/>
      <name val="Arial"/>
      <family val="2"/>
    </font>
    <font>
      <u/>
      <sz val="10"/>
      <name val="Arial"/>
      <family val="2"/>
    </font>
    <font>
      <i/>
      <sz val="10"/>
      <name val="Arial"/>
      <family val="2"/>
    </font>
    <font>
      <sz val="8"/>
      <name val="Arial"/>
      <family val="2"/>
    </font>
    <font>
      <b/>
      <sz val="10"/>
      <color indexed="12"/>
      <name val="Arial"/>
      <family val="2"/>
    </font>
    <font>
      <b/>
      <sz val="12"/>
      <name val="Arial"/>
      <family val="2"/>
    </font>
    <font>
      <b/>
      <u/>
      <sz val="10"/>
      <name val="Arial"/>
      <family val="2"/>
    </font>
    <font>
      <sz val="8"/>
      <name val="Arial"/>
      <family val="2"/>
    </font>
    <font>
      <i/>
      <sz val="10"/>
      <name val="Arial"/>
      <family val="2"/>
    </font>
    <font>
      <sz val="12"/>
      <name val="Book Antiqua"/>
      <family val="1"/>
    </font>
    <font>
      <b/>
      <sz val="12"/>
      <name val="Book Antiqua"/>
      <family val="1"/>
    </font>
    <font>
      <sz val="10"/>
      <name val="Book Antiqua"/>
      <family val="1"/>
    </font>
    <font>
      <u/>
      <sz val="10"/>
      <color indexed="12"/>
      <name val="Arial"/>
      <family val="2"/>
    </font>
    <font>
      <sz val="10"/>
      <name val="Arial Narrow"/>
      <family val="2"/>
    </font>
    <font>
      <sz val="12"/>
      <name val="Times New Roman"/>
      <family val="1"/>
    </font>
    <font>
      <b/>
      <sz val="10"/>
      <name val="Times New Roman"/>
      <family val="1"/>
    </font>
    <font>
      <sz val="10"/>
      <color indexed="12"/>
      <name val="Arial"/>
      <family val="2"/>
    </font>
    <font>
      <sz val="10"/>
      <name val="Arial"/>
      <family val="2"/>
    </font>
    <font>
      <sz val="10"/>
      <name val="Arial"/>
      <family val="2"/>
    </font>
    <font>
      <b/>
      <sz val="10"/>
      <name val="Arial"/>
      <family val="2"/>
    </font>
    <font>
      <sz val="10"/>
      <name val="Arial"/>
      <family val="2"/>
    </font>
    <font>
      <b/>
      <sz val="10"/>
      <color indexed="12"/>
      <name val="Arial"/>
      <family val="2"/>
    </font>
    <font>
      <i/>
      <u/>
      <sz val="10"/>
      <name val="Arial"/>
      <family val="2"/>
    </font>
    <font>
      <sz val="9"/>
      <name val="Arial"/>
      <family val="2"/>
    </font>
    <font>
      <sz val="10"/>
      <name val="MS Sans Serif"/>
      <family val="2"/>
    </font>
    <font>
      <b/>
      <sz val="12"/>
      <color indexed="12"/>
      <name val="Arial"/>
      <family val="2"/>
    </font>
    <font>
      <b/>
      <sz val="12"/>
      <name val="MS Sans Serif"/>
      <family val="2"/>
    </font>
    <font>
      <b/>
      <sz val="9"/>
      <name val="Arial"/>
      <family val="2"/>
    </font>
    <font>
      <sz val="9"/>
      <name val="Arial"/>
      <family val="2"/>
    </font>
    <font>
      <sz val="12"/>
      <name val="Arial"/>
      <family val="2"/>
    </font>
    <font>
      <b/>
      <sz val="16"/>
      <name val="Arial"/>
      <family val="2"/>
    </font>
    <font>
      <b/>
      <i/>
      <sz val="10"/>
      <name val="Arial"/>
      <family val="2"/>
    </font>
    <font>
      <b/>
      <u/>
      <sz val="12"/>
      <name val="Arial"/>
      <family val="2"/>
    </font>
    <font>
      <sz val="12"/>
      <name val="MS Sans Serif"/>
      <family val="2"/>
    </font>
    <font>
      <sz val="9.75"/>
      <name val="Helv"/>
    </font>
    <font>
      <sz val="12"/>
      <name val="Helv"/>
    </font>
    <font>
      <sz val="10"/>
      <name val="Helv"/>
    </font>
    <font>
      <b/>
      <sz val="10"/>
      <name val="Helv"/>
    </font>
    <font>
      <sz val="8"/>
      <name val="Helv"/>
    </font>
    <font>
      <sz val="20"/>
      <color indexed="10"/>
      <name val="Arial"/>
      <family val="2"/>
    </font>
    <font>
      <b/>
      <sz val="12"/>
      <name val="MS Sans Serif"/>
      <family val="2"/>
    </font>
    <font>
      <sz val="10"/>
      <name val="MS Sans Serif"/>
      <family val="2"/>
    </font>
    <font>
      <sz val="9.5"/>
      <name val="Arial"/>
      <family val="2"/>
    </font>
    <font>
      <b/>
      <sz val="8"/>
      <name val="Arial"/>
      <family val="2"/>
    </font>
    <font>
      <b/>
      <sz val="8"/>
      <name val="Arial"/>
      <family val="2"/>
    </font>
    <font>
      <b/>
      <sz val="10"/>
      <color indexed="32"/>
      <name val="Arial Narrow"/>
      <family val="2"/>
    </font>
    <font>
      <b/>
      <sz val="10"/>
      <color indexed="9"/>
      <name val="Arial Narrow"/>
      <family val="2"/>
    </font>
    <font>
      <sz val="8"/>
      <name val="Arial Narrow"/>
      <family val="2"/>
    </font>
    <font>
      <sz val="8"/>
      <color indexed="18"/>
      <name val="Arial Narrow"/>
      <family val="2"/>
    </font>
    <font>
      <sz val="7"/>
      <name val="Arial"/>
      <family val="2"/>
    </font>
    <font>
      <sz val="9"/>
      <name val="Book Antiqua"/>
      <family val="1"/>
    </font>
    <font>
      <b/>
      <sz val="14"/>
      <name val="Times New Roman"/>
      <family val="1"/>
    </font>
    <font>
      <b/>
      <sz val="12"/>
      <name val="Times New Roman"/>
      <family val="1"/>
    </font>
    <font>
      <b/>
      <u/>
      <sz val="12"/>
      <name val="Times New Roman"/>
      <family val="1"/>
    </font>
    <font>
      <sz val="12"/>
      <color indexed="12"/>
      <name val="Times New Roman"/>
      <family val="1"/>
    </font>
    <font>
      <sz val="12"/>
      <color indexed="10"/>
      <name val="Times New Roman"/>
      <family val="1"/>
    </font>
    <font>
      <u/>
      <sz val="12"/>
      <color indexed="12"/>
      <name val="Times New Roman"/>
      <family val="1"/>
    </font>
    <font>
      <sz val="11"/>
      <name val="Arial Narrow"/>
      <family val="2"/>
    </font>
    <font>
      <sz val="10.5"/>
      <name val="Arial Narrow"/>
      <family val="2"/>
    </font>
    <font>
      <i/>
      <sz val="8"/>
      <name val="Arial"/>
      <family val="2"/>
    </font>
    <font>
      <u/>
      <sz val="8"/>
      <name val="Arial"/>
      <family val="2"/>
    </font>
    <font>
      <i/>
      <u/>
      <sz val="8"/>
      <name val="Arial"/>
      <family val="2"/>
    </font>
    <font>
      <b/>
      <u/>
      <sz val="8"/>
      <name val="Arial"/>
      <family val="2"/>
    </font>
    <font>
      <b/>
      <vertAlign val="superscript"/>
      <sz val="8"/>
      <name val="Arial"/>
      <family val="2"/>
    </font>
    <font>
      <vertAlign val="superscript"/>
      <sz val="8"/>
      <name val="Arial"/>
      <family val="2"/>
    </font>
    <font>
      <b/>
      <sz val="8"/>
      <color indexed="12"/>
      <name val="Arial"/>
      <family val="2"/>
    </font>
    <font>
      <b/>
      <u/>
      <sz val="9"/>
      <name val="Arial"/>
      <family val="2"/>
    </font>
    <font>
      <b/>
      <u/>
      <vertAlign val="superscript"/>
      <sz val="9"/>
      <name val="Arial"/>
      <family val="2"/>
    </font>
    <font>
      <b/>
      <sz val="9"/>
      <name val="Arial"/>
      <family val="2"/>
    </font>
    <font>
      <u/>
      <sz val="9"/>
      <name val="Arial"/>
      <family val="2"/>
    </font>
    <font>
      <sz val="10"/>
      <name val="Times New Roman"/>
      <family val="1"/>
    </font>
    <font>
      <sz val="10"/>
      <color indexed="14"/>
      <name val="Arial"/>
      <family val="2"/>
    </font>
    <font>
      <sz val="10"/>
      <color indexed="14"/>
      <name val="Arial"/>
      <family val="2"/>
    </font>
    <font>
      <b/>
      <sz val="12"/>
      <color indexed="10"/>
      <name val="Times New Roman"/>
      <family val="1"/>
    </font>
    <font>
      <b/>
      <sz val="10"/>
      <color indexed="10"/>
      <name val="Arial"/>
      <family val="2"/>
    </font>
    <font>
      <b/>
      <sz val="12"/>
      <color indexed="14"/>
      <name val="Times New Roman"/>
      <family val="1"/>
    </font>
    <font>
      <b/>
      <sz val="10"/>
      <color indexed="14"/>
      <name val="Arial"/>
      <family val="2"/>
    </font>
    <font>
      <b/>
      <u/>
      <sz val="8"/>
      <name val="Arial Narrow"/>
      <family val="2"/>
    </font>
    <font>
      <b/>
      <sz val="9"/>
      <name val="Arial Narrow"/>
      <family val="2"/>
    </font>
    <font>
      <b/>
      <sz val="9"/>
      <name val="Arial Narrow"/>
      <family val="2"/>
    </font>
    <font>
      <b/>
      <sz val="10"/>
      <name val="Arial Narrow"/>
      <family val="2"/>
    </font>
    <font>
      <b/>
      <sz val="8"/>
      <color indexed="18"/>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sz val="8"/>
      <name val="Times New Roman"/>
      <family val="1"/>
    </font>
    <font>
      <sz val="8"/>
      <color indexed="81"/>
      <name val="Tahoma"/>
      <family val="2"/>
    </font>
    <font>
      <u/>
      <sz val="8"/>
      <color indexed="81"/>
      <name val="Tahoma"/>
      <family val="2"/>
    </font>
    <font>
      <sz val="11"/>
      <name val="Times New Roman"/>
      <family val="1"/>
    </font>
    <font>
      <sz val="9"/>
      <color indexed="14"/>
      <name val="Arial"/>
      <family val="2"/>
    </font>
    <font>
      <i/>
      <sz val="8"/>
      <color indexed="62"/>
      <name val="Arial"/>
      <family val="2"/>
    </font>
    <font>
      <b/>
      <sz val="8"/>
      <color indexed="81"/>
      <name val="Tahoma"/>
      <family val="2"/>
    </font>
    <font>
      <u/>
      <sz val="12"/>
      <name val="Times New Roman"/>
      <family val="1"/>
    </font>
    <font>
      <b/>
      <sz val="8"/>
      <name val="Helv"/>
    </font>
    <font>
      <b/>
      <sz val="8"/>
      <name val="Times New Roman"/>
      <family val="1"/>
    </font>
    <font>
      <sz val="10"/>
      <name val="Arial"/>
      <family val="2"/>
    </font>
    <font>
      <i/>
      <sz val="8.5"/>
      <name val="Arial"/>
      <family val="2"/>
    </font>
    <font>
      <i/>
      <sz val="12"/>
      <name val="Arial"/>
      <family val="2"/>
    </font>
    <font>
      <b/>
      <sz val="11"/>
      <name val="Arial"/>
      <family val="2"/>
    </font>
    <font>
      <sz val="10"/>
      <name val="Calibri"/>
      <family val="2"/>
    </font>
    <font>
      <sz val="11"/>
      <name val="Calibri"/>
      <family val="2"/>
    </font>
    <font>
      <sz val="12"/>
      <name val="Calibri"/>
      <family val="2"/>
    </font>
    <font>
      <sz val="9"/>
      <name val="Times New Roman"/>
      <family val="1"/>
    </font>
    <font>
      <b/>
      <sz val="14"/>
      <name val="Calibri"/>
      <family val="2"/>
    </font>
    <font>
      <b/>
      <sz val="8"/>
      <name val="Calibri"/>
      <family val="2"/>
    </font>
    <font>
      <b/>
      <sz val="10"/>
      <name val="MS Sans Serif"/>
      <family val="2"/>
    </font>
    <font>
      <sz val="10"/>
      <name val="Arial"/>
      <family val="2"/>
    </font>
    <font>
      <sz val="9.5"/>
      <color indexed="8"/>
      <name val="Arial"/>
      <family val="2"/>
    </font>
    <font>
      <b/>
      <sz val="9.5"/>
      <color indexed="10"/>
      <name val="Arial"/>
      <family val="2"/>
    </font>
    <font>
      <b/>
      <sz val="9"/>
      <color indexed="10"/>
      <name val="Times New Roman"/>
      <family val="1"/>
    </font>
    <font>
      <u/>
      <sz val="10"/>
      <name val="Arial Narrow"/>
      <family val="2"/>
    </font>
    <font>
      <sz val="9"/>
      <color indexed="8"/>
      <name val="Times New Roman"/>
      <family val="1"/>
    </font>
    <font>
      <sz val="11"/>
      <color indexed="10"/>
      <name val="Times New Roman"/>
      <family val="1"/>
    </font>
    <fon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5" tint="-0.249977111117893"/>
      <name val="Arial"/>
      <family val="2"/>
    </font>
    <font>
      <sz val="12"/>
      <color rgb="FFFF0000"/>
      <name val="Times New Roman"/>
      <family val="1"/>
    </font>
    <font>
      <sz val="10"/>
      <color rgb="FF0000FF"/>
      <name val="Arial"/>
      <family val="2"/>
    </font>
    <font>
      <sz val="10"/>
      <color rgb="FFFF00FF"/>
      <name val="Arial"/>
      <family val="2"/>
    </font>
    <font>
      <sz val="8"/>
      <color rgb="FF000080"/>
      <name val="Arial Narrow"/>
      <family val="2"/>
    </font>
    <font>
      <sz val="8"/>
      <color rgb="FF7030A0"/>
      <name val="Arial"/>
      <family val="2"/>
    </font>
    <font>
      <sz val="10"/>
      <color rgb="FF7030A0"/>
      <name val="Arial"/>
      <family val="2"/>
    </font>
    <font>
      <i/>
      <sz val="8"/>
      <color rgb="FF7030A0"/>
      <name val="Arial"/>
      <family val="2"/>
    </font>
    <font>
      <sz val="9"/>
      <color rgb="FF3333CC"/>
      <name val="Arial"/>
      <family val="2"/>
    </font>
    <font>
      <sz val="12"/>
      <color rgb="FF800000"/>
      <name val="Times New Roman"/>
      <family val="1"/>
    </font>
    <font>
      <b/>
      <sz val="10"/>
      <color rgb="FFFF00FF"/>
      <name val="Helv"/>
    </font>
    <font>
      <sz val="12"/>
      <color theme="1"/>
      <name val="Times New Roman"/>
      <family val="1"/>
    </font>
    <font>
      <sz val="8"/>
      <color theme="1"/>
      <name val="Arial"/>
      <family val="2"/>
    </font>
    <font>
      <b/>
      <sz val="10"/>
      <color theme="1"/>
      <name val="Arial"/>
      <family val="2"/>
    </font>
    <font>
      <sz val="10"/>
      <color theme="1"/>
      <name val="Arial"/>
      <family val="2"/>
    </font>
    <font>
      <sz val="12"/>
      <color rgb="FF7030A0"/>
      <name val="Times New Roman"/>
      <family val="1"/>
    </font>
    <font>
      <u/>
      <sz val="12"/>
      <color rgb="FF800000"/>
      <name val="Times New Roman"/>
      <family val="1"/>
    </font>
    <font>
      <b/>
      <sz val="12"/>
      <color theme="9" tint="-0.499984740745262"/>
      <name val="Times New Roman"/>
      <family val="1"/>
    </font>
    <font>
      <sz val="9.5"/>
      <color theme="1"/>
      <name val="Times New Roman"/>
      <family val="1"/>
    </font>
    <font>
      <b/>
      <sz val="9.5"/>
      <color theme="1"/>
      <name val="Times New Roman"/>
      <family val="1"/>
    </font>
    <font>
      <sz val="10"/>
      <color rgb="FFFF0000"/>
      <name val="Arial"/>
      <family val="2"/>
    </font>
    <font>
      <sz val="12"/>
      <color rgb="FF000000"/>
      <name val="Times New Roman"/>
      <family val="1"/>
    </font>
    <font>
      <sz val="8"/>
      <color theme="0"/>
      <name val="Arial"/>
      <family val="2"/>
    </font>
    <font>
      <sz val="9"/>
      <color theme="1"/>
      <name val="Times New Roman"/>
      <family val="1"/>
    </font>
    <font>
      <b/>
      <sz val="10"/>
      <color rgb="FFFF0000"/>
      <name val="Arial"/>
      <family val="2"/>
    </font>
    <font>
      <b/>
      <sz val="9"/>
      <color rgb="FFFF0000"/>
      <name val="Times New Roman"/>
      <family val="1"/>
    </font>
    <font>
      <b/>
      <sz val="9.5"/>
      <color rgb="FFFF0000"/>
      <name val="Arial"/>
      <family val="2"/>
    </font>
    <font>
      <sz val="9.5"/>
      <color theme="0"/>
      <name val="Times New Roman"/>
      <family val="1"/>
    </font>
    <font>
      <b/>
      <sz val="8"/>
      <color rgb="FFFF0000"/>
      <name val="Arial"/>
      <family val="2"/>
    </font>
    <font>
      <b/>
      <sz val="10"/>
      <color theme="0"/>
      <name val="Arial"/>
      <family val="2"/>
    </font>
    <font>
      <b/>
      <sz val="18"/>
      <color theme="3"/>
      <name val="Cambria"/>
      <family val="2"/>
    </font>
    <font>
      <b/>
      <u/>
      <sz val="10"/>
      <color indexed="12"/>
      <name val="Arial"/>
      <family val="2"/>
    </font>
    <font>
      <sz val="8"/>
      <color theme="7"/>
      <name val="Arial"/>
      <family val="2"/>
    </font>
    <font>
      <sz val="10"/>
      <color theme="7"/>
      <name val="Arial"/>
      <family val="2"/>
    </font>
    <font>
      <b/>
      <sz val="18"/>
      <name val="MS Sans Serif"/>
      <family val="2"/>
    </font>
    <font>
      <sz val="14"/>
      <name val="Book Antiqua"/>
      <family val="1"/>
    </font>
    <font>
      <b/>
      <i/>
      <u/>
      <sz val="12"/>
      <name val="Arial"/>
      <family val="2"/>
    </font>
    <font>
      <b/>
      <i/>
      <u/>
      <sz val="10"/>
      <name val="Arial"/>
      <family val="2"/>
    </font>
    <font>
      <sz val="9"/>
      <color indexed="10"/>
      <name val="Arial"/>
      <family val="2"/>
    </font>
    <font>
      <sz val="12"/>
      <color rgb="FF0000FF"/>
      <name val="Times New Roman"/>
      <family val="1"/>
    </font>
    <font>
      <b/>
      <sz val="12"/>
      <color rgb="FFFF0000"/>
      <name val="Arial"/>
      <family val="2"/>
    </font>
    <font>
      <sz val="10"/>
      <color indexed="12"/>
      <name val="Times New Roman"/>
      <family val="1"/>
    </font>
    <font>
      <sz val="11"/>
      <color indexed="12"/>
      <name val="Times New Roman"/>
      <family val="1"/>
    </font>
    <font>
      <sz val="10.5"/>
      <color indexed="12"/>
      <name val="Times New Roman"/>
      <family val="1"/>
    </font>
    <font>
      <b/>
      <sz val="10"/>
      <color rgb="FF0066FF"/>
      <name val="Arial"/>
      <family val="2"/>
    </font>
    <font>
      <sz val="10"/>
      <color rgb="FF0066FF"/>
      <name val="Arial"/>
      <family val="2"/>
    </font>
    <font>
      <sz val="10"/>
      <name val="Tahoma"/>
      <family val="2"/>
    </font>
    <font>
      <b/>
      <sz val="10"/>
      <name val="Tahoma"/>
      <family val="2"/>
    </font>
    <font>
      <b/>
      <sz val="9"/>
      <color rgb="FFFF0000"/>
      <name val="Arial"/>
      <family val="2"/>
    </font>
    <font>
      <b/>
      <sz val="10"/>
      <color rgb="FFFF0000"/>
      <name val="Tahoma"/>
      <family val="2"/>
    </font>
    <font>
      <sz val="10"/>
      <color rgb="FFFF0000"/>
      <name val="Tahoma"/>
      <family val="2"/>
    </font>
    <font>
      <sz val="8"/>
      <name val="Times New Roman"/>
      <family val="2"/>
    </font>
  </fonts>
  <fills count="76">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10"/>
        <bgColor indexed="64"/>
      </patternFill>
    </fill>
    <fill>
      <patternFill patternType="lightTrellis"/>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CCFF"/>
        <bgColor indexed="64"/>
      </patternFill>
    </fill>
    <fill>
      <patternFill patternType="solid">
        <fgColor rgb="FFFFFF00"/>
        <bgColor indexed="64"/>
      </patternFill>
    </fill>
    <fill>
      <patternFill patternType="solid">
        <fgColor rgb="FF66FFFF"/>
        <bgColor indexed="64"/>
      </patternFill>
    </fill>
    <fill>
      <patternFill patternType="solid">
        <fgColor theme="5" tint="0.59999389629810485"/>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1"/>
        <bgColor indexed="64"/>
      </patternFill>
    </fill>
    <fill>
      <patternFill patternType="solid">
        <fgColor theme="6" tint="0.59999389629810485"/>
        <bgColor indexed="64"/>
      </patternFill>
    </fill>
    <fill>
      <patternFill patternType="solid">
        <fgColor rgb="FF92D050"/>
        <bgColor indexed="64"/>
      </patternFill>
    </fill>
    <fill>
      <patternFill patternType="solid">
        <fgColor indexed="9"/>
        <bgColor indexed="64"/>
      </patternFill>
    </fill>
    <fill>
      <patternFill patternType="solid">
        <fgColor indexed="22"/>
        <bgColor indexed="64"/>
      </patternFill>
    </fill>
    <fill>
      <patternFill patternType="solid">
        <fgColor theme="9" tint="0.39997558519241921"/>
        <bgColor indexed="64"/>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4"/>
      </top>
      <bottom style="double">
        <color indexed="64"/>
      </bottom>
      <diagonal/>
    </border>
    <border>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style="medium">
        <color indexed="64"/>
      </top>
      <bottom style="medium">
        <color indexed="64"/>
      </bottom>
      <diagonal/>
    </border>
    <border>
      <left style="medium">
        <color auto="1"/>
      </left>
      <right/>
      <top/>
      <bottom style="medium">
        <color auto="1"/>
      </bottom>
      <diagonal/>
    </border>
  </borders>
  <cellStyleXfs count="243">
    <xf numFmtId="0" fontId="0" fillId="0" borderId="0"/>
    <xf numFmtId="0" fontId="87" fillId="2" borderId="0" applyNumberFormat="0" applyBorder="0" applyAlignment="0" applyProtection="0"/>
    <xf numFmtId="0" fontId="135" fillId="29" borderId="0" applyNumberFormat="0" applyBorder="0" applyAlignment="0" applyProtection="0"/>
    <xf numFmtId="0" fontId="87" fillId="4" borderId="0" applyNumberFormat="0" applyBorder="0" applyAlignment="0" applyProtection="0"/>
    <xf numFmtId="0" fontId="135" fillId="30" borderId="0" applyNumberFormat="0" applyBorder="0" applyAlignment="0" applyProtection="0"/>
    <xf numFmtId="0" fontId="87" fillId="6" borderId="0" applyNumberFormat="0" applyBorder="0" applyAlignment="0" applyProtection="0"/>
    <xf numFmtId="0" fontId="135" fillId="31" borderId="0" applyNumberFormat="0" applyBorder="0" applyAlignment="0" applyProtection="0"/>
    <xf numFmtId="0" fontId="87" fillId="8" borderId="0" applyNumberFormat="0" applyBorder="0" applyAlignment="0" applyProtection="0"/>
    <xf numFmtId="0" fontId="135" fillId="32" borderId="0" applyNumberFormat="0" applyBorder="0" applyAlignment="0" applyProtection="0"/>
    <xf numFmtId="0" fontId="87" fillId="10" borderId="0" applyNumberFormat="0" applyBorder="0" applyAlignment="0" applyProtection="0"/>
    <xf numFmtId="0" fontId="135" fillId="33" borderId="0" applyNumberFormat="0" applyBorder="0" applyAlignment="0" applyProtection="0"/>
    <xf numFmtId="0" fontId="87" fillId="9" borderId="0" applyNumberFormat="0" applyBorder="0" applyAlignment="0" applyProtection="0"/>
    <xf numFmtId="0" fontId="135" fillId="34" borderId="0" applyNumberFormat="0" applyBorder="0" applyAlignment="0" applyProtection="0"/>
    <xf numFmtId="0" fontId="87" fillId="3" borderId="0" applyNumberFormat="0" applyBorder="0" applyAlignment="0" applyProtection="0"/>
    <xf numFmtId="0" fontId="135" fillId="35" borderId="0" applyNumberFormat="0" applyBorder="0" applyAlignment="0" applyProtection="0"/>
    <xf numFmtId="0" fontId="87" fillId="5" borderId="0" applyNumberFormat="0" applyBorder="0" applyAlignment="0" applyProtection="0"/>
    <xf numFmtId="0" fontId="135" fillId="36" borderId="0" applyNumberFormat="0" applyBorder="0" applyAlignment="0" applyProtection="0"/>
    <xf numFmtId="0" fontId="87" fillId="11" borderId="0" applyNumberFormat="0" applyBorder="0" applyAlignment="0" applyProtection="0"/>
    <xf numFmtId="0" fontId="135" fillId="37" borderId="0" applyNumberFormat="0" applyBorder="0" applyAlignment="0" applyProtection="0"/>
    <xf numFmtId="0" fontId="87" fillId="8" borderId="0" applyNumberFormat="0" applyBorder="0" applyAlignment="0" applyProtection="0"/>
    <xf numFmtId="0" fontId="135" fillId="38" borderId="0" applyNumberFormat="0" applyBorder="0" applyAlignment="0" applyProtection="0"/>
    <xf numFmtId="0" fontId="87" fillId="3" borderId="0" applyNumberFormat="0" applyBorder="0" applyAlignment="0" applyProtection="0"/>
    <xf numFmtId="0" fontId="135" fillId="39" borderId="0" applyNumberFormat="0" applyBorder="0" applyAlignment="0" applyProtection="0"/>
    <xf numFmtId="0" fontId="87" fillId="13" borderId="0" applyNumberFormat="0" applyBorder="0" applyAlignment="0" applyProtection="0"/>
    <xf numFmtId="0" fontId="135" fillId="40" borderId="0" applyNumberFormat="0" applyBorder="0" applyAlignment="0" applyProtection="0"/>
    <xf numFmtId="0" fontId="88" fillId="14" borderId="0" applyNumberFormat="0" applyBorder="0" applyAlignment="0" applyProtection="0"/>
    <xf numFmtId="0" fontId="136" fillId="41" borderId="0" applyNumberFormat="0" applyBorder="0" applyAlignment="0" applyProtection="0"/>
    <xf numFmtId="0" fontId="88" fillId="5" borderId="0" applyNumberFormat="0" applyBorder="0" applyAlignment="0" applyProtection="0"/>
    <xf numFmtId="0" fontId="136" fillId="42" borderId="0" applyNumberFormat="0" applyBorder="0" applyAlignment="0" applyProtection="0"/>
    <xf numFmtId="0" fontId="88" fillId="11" borderId="0" applyNumberFormat="0" applyBorder="0" applyAlignment="0" applyProtection="0"/>
    <xf numFmtId="0" fontId="136" fillId="43" borderId="0" applyNumberFormat="0" applyBorder="0" applyAlignment="0" applyProtection="0"/>
    <xf numFmtId="0" fontId="88" fillId="16" borderId="0" applyNumberFormat="0" applyBorder="0" applyAlignment="0" applyProtection="0"/>
    <xf numFmtId="0" fontId="136" fillId="44" borderId="0" applyNumberFormat="0" applyBorder="0" applyAlignment="0" applyProtection="0"/>
    <xf numFmtId="0" fontId="88" fillId="17" borderId="0" applyNumberFormat="0" applyBorder="0" applyAlignment="0" applyProtection="0"/>
    <xf numFmtId="0" fontId="136" fillId="45" borderId="0" applyNumberFormat="0" applyBorder="0" applyAlignment="0" applyProtection="0"/>
    <xf numFmtId="0" fontId="88" fillId="18" borderId="0" applyNumberFormat="0" applyBorder="0" applyAlignment="0" applyProtection="0"/>
    <xf numFmtId="0" fontId="136" fillId="46" borderId="0" applyNumberFormat="0" applyBorder="0" applyAlignment="0" applyProtection="0"/>
    <xf numFmtId="0" fontId="88" fillId="19" borderId="0" applyNumberFormat="0" applyBorder="0" applyAlignment="0" applyProtection="0"/>
    <xf numFmtId="0" fontId="136" fillId="47" borderId="0" applyNumberFormat="0" applyBorder="0" applyAlignment="0" applyProtection="0"/>
    <xf numFmtId="0" fontId="88" fillId="20" borderId="0" applyNumberFormat="0" applyBorder="0" applyAlignment="0" applyProtection="0"/>
    <xf numFmtId="0" fontId="136" fillId="48" borderId="0" applyNumberFormat="0" applyBorder="0" applyAlignment="0" applyProtection="0"/>
    <xf numFmtId="0" fontId="88" fillId="21" borderId="0" applyNumberFormat="0" applyBorder="0" applyAlignment="0" applyProtection="0"/>
    <xf numFmtId="0" fontId="136" fillId="49" borderId="0" applyNumberFormat="0" applyBorder="0" applyAlignment="0" applyProtection="0"/>
    <xf numFmtId="0" fontId="88" fillId="16" borderId="0" applyNumberFormat="0" applyBorder="0" applyAlignment="0" applyProtection="0"/>
    <xf numFmtId="0" fontId="136" fillId="50" borderId="0" applyNumberFormat="0" applyBorder="0" applyAlignment="0" applyProtection="0"/>
    <xf numFmtId="0" fontId="88" fillId="17" borderId="0" applyNumberFormat="0" applyBorder="0" applyAlignment="0" applyProtection="0"/>
    <xf numFmtId="0" fontId="136" fillId="51" borderId="0" applyNumberFormat="0" applyBorder="0" applyAlignment="0" applyProtection="0"/>
    <xf numFmtId="0" fontId="88" fillId="15" borderId="0" applyNumberFormat="0" applyBorder="0" applyAlignment="0" applyProtection="0"/>
    <xf numFmtId="0" fontId="136" fillId="52" borderId="0" applyNumberFormat="0" applyBorder="0" applyAlignment="0" applyProtection="0"/>
    <xf numFmtId="0" fontId="89" fillId="4" borderId="0" applyNumberFormat="0" applyBorder="0" applyAlignment="0" applyProtection="0"/>
    <xf numFmtId="0" fontId="137" fillId="53" borderId="0" applyNumberFormat="0" applyBorder="0" applyAlignment="0" applyProtection="0"/>
    <xf numFmtId="0" fontId="90" fillId="22" borderId="1" applyNumberFormat="0" applyAlignment="0" applyProtection="0"/>
    <xf numFmtId="0" fontId="138" fillId="54" borderId="34" applyNumberFormat="0" applyAlignment="0" applyProtection="0"/>
    <xf numFmtId="178" fontId="28" fillId="0" borderId="0"/>
    <xf numFmtId="0" fontId="91" fillId="23" borderId="2" applyNumberFormat="0" applyAlignment="0" applyProtection="0"/>
    <xf numFmtId="0" fontId="139" fillId="55" borderId="35" applyNumberFormat="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3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 fontId="4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8" fontId="41" fillId="0" borderId="0" applyFont="0" applyFill="0" applyBorder="0" applyAlignment="0" applyProtection="0"/>
    <xf numFmtId="0" fontId="13" fillId="0" borderId="3">
      <alignment horizontal="right"/>
      <protection locked="0"/>
    </xf>
    <xf numFmtId="0" fontId="7" fillId="0" borderId="3">
      <alignment horizontal="right"/>
      <protection locked="0"/>
    </xf>
    <xf numFmtId="0" fontId="7" fillId="0" borderId="3">
      <alignment horizontal="right"/>
      <protection locked="0"/>
    </xf>
    <xf numFmtId="0" fontId="92" fillId="0" borderId="0" applyNumberFormat="0" applyFill="0" applyBorder="0" applyAlignment="0" applyProtection="0"/>
    <xf numFmtId="0" fontId="140" fillId="0" borderId="0" applyNumberFormat="0" applyFill="0" applyBorder="0" applyAlignment="0" applyProtection="0"/>
    <xf numFmtId="0" fontId="93" fillId="6" borderId="0" applyNumberFormat="0" applyBorder="0" applyAlignment="0" applyProtection="0"/>
    <xf numFmtId="0" fontId="141" fillId="56" borderId="0" applyNumberFormat="0" applyBorder="0" applyAlignment="0" applyProtection="0"/>
    <xf numFmtId="0" fontId="94" fillId="0" borderId="4" applyNumberFormat="0" applyFill="0" applyAlignment="0" applyProtection="0"/>
    <xf numFmtId="0" fontId="142" fillId="0" borderId="36" applyNumberFormat="0" applyFill="0" applyAlignment="0" applyProtection="0"/>
    <xf numFmtId="0" fontId="95" fillId="0" borderId="5" applyNumberFormat="0" applyFill="0" applyAlignment="0" applyProtection="0"/>
    <xf numFmtId="0" fontId="143" fillId="0" borderId="37" applyNumberFormat="0" applyFill="0" applyAlignment="0" applyProtection="0"/>
    <xf numFmtId="0" fontId="96" fillId="0" borderId="6" applyNumberFormat="0" applyFill="0" applyAlignment="0" applyProtection="0"/>
    <xf numFmtId="0" fontId="144" fillId="0" borderId="38" applyNumberFormat="0" applyFill="0" applyAlignment="0" applyProtection="0"/>
    <xf numFmtId="0" fontId="96" fillId="0" borderId="0" applyNumberFormat="0" applyFill="0" applyBorder="0" applyAlignment="0" applyProtection="0"/>
    <xf numFmtId="0" fontId="144" fillId="0" borderId="0" applyNumberFormat="0" applyFill="0" applyBorder="0" applyAlignment="0" applyProtection="0"/>
    <xf numFmtId="0" fontId="14" fillId="0" borderId="7" applyBorder="0">
      <protection locked="0"/>
    </xf>
    <xf numFmtId="0" fontId="14" fillId="0" borderId="7" applyBorder="0">
      <protection locked="0"/>
    </xf>
    <xf numFmtId="0" fontId="19" fillId="0" borderId="7">
      <protection locked="0"/>
    </xf>
    <xf numFmtId="0" fontId="15" fillId="0" borderId="0">
      <protection locked="0"/>
    </xf>
    <xf numFmtId="0" fontId="15" fillId="0" borderId="0">
      <protection locked="0"/>
    </xf>
    <xf numFmtId="0" fontId="57" fillId="0" borderId="0">
      <protection locked="0"/>
    </xf>
    <xf numFmtId="15" fontId="16" fillId="0" borderId="3" applyNumberFormat="0" applyBorder="0">
      <protection locked="0"/>
    </xf>
    <xf numFmtId="0" fontId="1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98" fillId="9" borderId="1" applyNumberFormat="0" applyAlignment="0" applyProtection="0"/>
    <xf numFmtId="0" fontId="146" fillId="57" borderId="34" applyNumberFormat="0" applyAlignment="0" applyProtection="0"/>
    <xf numFmtId="0" fontId="99" fillId="0" borderId="8" applyNumberFormat="0" applyFill="0" applyAlignment="0" applyProtection="0"/>
    <xf numFmtId="0" fontId="147" fillId="0" borderId="39" applyNumberFormat="0" applyFill="0" applyAlignment="0" applyProtection="0"/>
    <xf numFmtId="0" fontId="100" fillId="12" borderId="0" applyNumberFormat="0" applyBorder="0" applyAlignment="0" applyProtection="0"/>
    <xf numFmtId="0" fontId="148" fillId="58" borderId="0" applyNumberFormat="0" applyBorder="0" applyAlignment="0" applyProtection="0"/>
    <xf numFmtId="37" fontId="116" fillId="0" borderId="0"/>
    <xf numFmtId="37" fontId="5" fillId="0" borderId="0"/>
    <xf numFmtId="37" fontId="116" fillId="0" borderId="0"/>
    <xf numFmtId="37" fontId="5" fillId="0" borderId="0"/>
    <xf numFmtId="37" fontId="116" fillId="0" borderId="0"/>
    <xf numFmtId="37" fontId="5" fillId="0" borderId="0"/>
    <xf numFmtId="37" fontId="116" fillId="0" borderId="0"/>
    <xf numFmtId="37" fontId="5" fillId="0" borderId="0"/>
    <xf numFmtId="37" fontId="116" fillId="0" borderId="0"/>
    <xf numFmtId="37" fontId="5" fillId="0" borderId="0"/>
    <xf numFmtId="37" fontId="116" fillId="0" borderId="0"/>
    <xf numFmtId="37" fontId="5" fillId="0" borderId="0"/>
    <xf numFmtId="37" fontId="116" fillId="0" borderId="0"/>
    <xf numFmtId="37" fontId="5" fillId="0" borderId="0"/>
    <xf numFmtId="37" fontId="116" fillId="0" borderId="0"/>
    <xf numFmtId="37" fontId="5" fillId="0" borderId="0"/>
    <xf numFmtId="37" fontId="116" fillId="0" borderId="0"/>
    <xf numFmtId="37" fontId="5" fillId="0" borderId="0"/>
    <xf numFmtId="37" fontId="116" fillId="0" borderId="0"/>
    <xf numFmtId="37" fontId="5" fillId="0" borderId="0"/>
    <xf numFmtId="174" fontId="12" fillId="0" borderId="0">
      <protection locked="0"/>
    </xf>
    <xf numFmtId="174" fontId="8" fillId="0" borderId="0">
      <protection locked="0"/>
    </xf>
    <xf numFmtId="0" fontId="29" fillId="0" borderId="0"/>
    <xf numFmtId="174" fontId="8" fillId="0" borderId="0">
      <protection locked="0"/>
    </xf>
    <xf numFmtId="0" fontId="5" fillId="0" borderId="0"/>
    <xf numFmtId="37" fontId="116" fillId="0" borderId="0"/>
    <xf numFmtId="37" fontId="5" fillId="0" borderId="0"/>
    <xf numFmtId="37" fontId="116" fillId="0" borderId="0"/>
    <xf numFmtId="37" fontId="5" fillId="0" borderId="0"/>
    <xf numFmtId="37" fontId="127" fillId="0" borderId="0"/>
    <xf numFmtId="37" fontId="127" fillId="0" borderId="0"/>
    <xf numFmtId="37" fontId="127" fillId="0" borderId="0"/>
    <xf numFmtId="37" fontId="127" fillId="0" borderId="0"/>
    <xf numFmtId="37" fontId="127" fillId="0" borderId="0"/>
    <xf numFmtId="0" fontId="5" fillId="0" borderId="0"/>
    <xf numFmtId="0" fontId="135" fillId="0" borderId="0"/>
    <xf numFmtId="0" fontId="29" fillId="0" borderId="0"/>
    <xf numFmtId="0" fontId="5" fillId="0" borderId="0"/>
    <xf numFmtId="37" fontId="116" fillId="0" borderId="0"/>
    <xf numFmtId="37" fontId="5" fillId="0" borderId="0"/>
    <xf numFmtId="0" fontId="5" fillId="0" borderId="0"/>
    <xf numFmtId="0" fontId="5" fillId="0" borderId="0"/>
    <xf numFmtId="0" fontId="5" fillId="0" borderId="0"/>
    <xf numFmtId="0" fontId="5" fillId="0" borderId="0"/>
    <xf numFmtId="165" fontId="8" fillId="0" borderId="0">
      <protection locked="0"/>
    </xf>
    <xf numFmtId="37" fontId="116" fillId="0" borderId="0"/>
    <xf numFmtId="37" fontId="5" fillId="0" borderId="0"/>
    <xf numFmtId="165" fontId="8" fillId="0" borderId="0">
      <protection locked="0"/>
    </xf>
    <xf numFmtId="37" fontId="116" fillId="0" borderId="0"/>
    <xf numFmtId="37" fontId="5" fillId="0" borderId="0"/>
    <xf numFmtId="37" fontId="116" fillId="0" borderId="0"/>
    <xf numFmtId="37" fontId="5" fillId="0" borderId="0"/>
    <xf numFmtId="37" fontId="116" fillId="0" borderId="0"/>
    <xf numFmtId="37" fontId="5" fillId="0" borderId="0"/>
    <xf numFmtId="0" fontId="39" fillId="0" borderId="0"/>
    <xf numFmtId="0" fontId="28" fillId="0" borderId="0"/>
    <xf numFmtId="0" fontId="33" fillId="0" borderId="0"/>
    <xf numFmtId="0" fontId="28" fillId="0" borderId="0"/>
    <xf numFmtId="0" fontId="33" fillId="0" borderId="0"/>
    <xf numFmtId="0" fontId="28" fillId="0" borderId="0"/>
    <xf numFmtId="0" fontId="28" fillId="0" borderId="0"/>
    <xf numFmtId="0" fontId="2" fillId="0" borderId="0"/>
    <xf numFmtId="0" fontId="5" fillId="0" borderId="0"/>
    <xf numFmtId="0" fontId="2" fillId="0" borderId="0"/>
    <xf numFmtId="0" fontId="5" fillId="0" borderId="0"/>
    <xf numFmtId="0" fontId="47" fillId="0" borderId="0"/>
    <xf numFmtId="0" fontId="29" fillId="0" borderId="0"/>
    <xf numFmtId="0" fontId="33" fillId="0" borderId="0"/>
    <xf numFmtId="0" fontId="29" fillId="0" borderId="0"/>
    <xf numFmtId="0" fontId="29" fillId="0" borderId="0"/>
    <xf numFmtId="0" fontId="29" fillId="0" borderId="0"/>
    <xf numFmtId="0" fontId="29" fillId="0" borderId="0"/>
    <xf numFmtId="0" fontId="28" fillId="0" borderId="0"/>
    <xf numFmtId="0" fontId="33" fillId="0" borderId="0"/>
    <xf numFmtId="0" fontId="28" fillId="0" borderId="0"/>
    <xf numFmtId="0" fontId="29" fillId="0" borderId="0"/>
    <xf numFmtId="0" fontId="46" fillId="0" borderId="0"/>
    <xf numFmtId="0" fontId="2" fillId="0" borderId="0"/>
    <xf numFmtId="0" fontId="5" fillId="0" borderId="0"/>
    <xf numFmtId="0" fontId="2" fillId="0" borderId="0"/>
    <xf numFmtId="0" fontId="5" fillId="7" borderId="9" applyNumberFormat="0" applyFont="0" applyAlignment="0" applyProtection="0"/>
    <xf numFmtId="0" fontId="135" fillId="59" borderId="40" applyNumberFormat="0" applyFont="0" applyAlignment="0" applyProtection="0"/>
    <xf numFmtId="166" fontId="12" fillId="0" borderId="0">
      <protection locked="0"/>
    </xf>
    <xf numFmtId="166" fontId="8" fillId="0" borderId="0">
      <protection locked="0"/>
    </xf>
    <xf numFmtId="165" fontId="12" fillId="0" borderId="0">
      <protection locked="0"/>
    </xf>
    <xf numFmtId="165" fontId="8" fillId="0" borderId="0">
      <protection locked="0"/>
    </xf>
    <xf numFmtId="0" fontId="8" fillId="0" borderId="0">
      <protection locked="0"/>
    </xf>
    <xf numFmtId="166" fontId="12" fillId="0" borderId="10">
      <protection locked="0"/>
    </xf>
    <xf numFmtId="166" fontId="8" fillId="0" borderId="10">
      <protection locked="0"/>
    </xf>
    <xf numFmtId="165" fontId="12" fillId="0" borderId="11">
      <protection locked="0"/>
    </xf>
    <xf numFmtId="165" fontId="8" fillId="0" borderId="11">
      <protection locked="0"/>
    </xf>
    <xf numFmtId="164" fontId="12" fillId="0" borderId="0"/>
    <xf numFmtId="164" fontId="8" fillId="0" borderId="0"/>
    <xf numFmtId="164" fontId="12" fillId="0" borderId="10"/>
    <xf numFmtId="164" fontId="8" fillId="0" borderId="10"/>
    <xf numFmtId="164" fontId="12" fillId="0" borderId="11"/>
    <xf numFmtId="164" fontId="8" fillId="0" borderId="11"/>
    <xf numFmtId="0" fontId="101" fillId="22" borderId="12" applyNumberFormat="0" applyAlignment="0" applyProtection="0"/>
    <xf numFmtId="0" fontId="149" fillId="54" borderId="41" applyNumberFormat="0" applyAlignment="0" applyProtection="0"/>
    <xf numFmtId="9" fontId="2" fillId="0" borderId="0" applyFont="0" applyFill="0" applyBorder="0" applyAlignment="0" applyProtection="0"/>
    <xf numFmtId="9" fontId="5" fillId="0" borderId="0" applyFont="0" applyFill="0" applyBorder="0" applyAlignment="0" applyProtection="0"/>
    <xf numFmtId="0" fontId="102" fillId="0" borderId="0" applyNumberFormat="0" applyFill="0" applyBorder="0" applyAlignment="0" applyProtection="0"/>
    <xf numFmtId="0" fontId="150" fillId="0" borderId="0" applyNumberFormat="0" applyFill="0" applyBorder="0" applyAlignment="0" applyProtection="0"/>
    <xf numFmtId="0" fontId="103" fillId="0" borderId="13" applyNumberFormat="0" applyFill="0" applyAlignment="0" applyProtection="0"/>
    <xf numFmtId="0" fontId="151" fillId="0" borderId="42" applyNumberFormat="0" applyFill="0" applyAlignment="0" applyProtection="0"/>
    <xf numFmtId="0" fontId="104" fillId="0" borderId="0" applyNumberFormat="0" applyFill="0" applyBorder="0" applyAlignment="0" applyProtection="0"/>
    <xf numFmtId="0" fontId="152" fillId="0" borderId="0" applyNumberFormat="0" applyFill="0" applyBorder="0" applyAlignment="0" applyProtection="0"/>
    <xf numFmtId="165" fontId="8" fillId="0" borderId="0">
      <protection locked="0"/>
    </xf>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165" fontId="8" fillId="0" borderId="0">
      <protection locked="0"/>
    </xf>
    <xf numFmtId="0" fontId="87" fillId="59" borderId="40" applyNumberFormat="0" applyFont="0" applyAlignment="0" applyProtection="0"/>
    <xf numFmtId="9" fontId="2" fillId="0" borderId="0" applyFont="0" applyFill="0" applyBorder="0" applyAlignment="0" applyProtection="0"/>
    <xf numFmtId="0" fontId="183" fillId="0" borderId="0" applyNumberFormat="0" applyFill="0" applyBorder="0" applyAlignment="0" applyProtection="0"/>
    <xf numFmtId="0" fontId="19" fillId="0" borderId="0"/>
    <xf numFmtId="0" fontId="28" fillId="0" borderId="0"/>
    <xf numFmtId="0" fontId="29" fillId="0" borderId="0"/>
  </cellStyleXfs>
  <cellXfs count="1102">
    <xf numFmtId="0" fontId="0" fillId="0" borderId="0" xfId="0"/>
    <xf numFmtId="0" fontId="3" fillId="0" borderId="0" xfId="0" applyFont="1"/>
    <xf numFmtId="0" fontId="4" fillId="0" borderId="0" xfId="0" applyFont="1"/>
    <xf numFmtId="41" fontId="0" fillId="0" borderId="0" xfId="56" applyNumberFormat="1" applyFont="1"/>
    <xf numFmtId="41" fontId="0" fillId="0" borderId="0" xfId="0" applyNumberFormat="1"/>
    <xf numFmtId="0" fontId="5" fillId="0" borderId="0" xfId="0" applyFont="1"/>
    <xf numFmtId="0" fontId="0" fillId="0" borderId="0" xfId="0" applyAlignment="1">
      <alignment horizontal="center"/>
    </xf>
    <xf numFmtId="0" fontId="9" fillId="0" borderId="0" xfId="0" applyFont="1" applyAlignment="1">
      <alignment horizontal="center"/>
    </xf>
    <xf numFmtId="0" fontId="19" fillId="0" borderId="0" xfId="0" applyFont="1"/>
    <xf numFmtId="0" fontId="12" fillId="0" borderId="0" xfId="0" applyFont="1"/>
    <xf numFmtId="0" fontId="12" fillId="0" borderId="0" xfId="0" applyFont="1" applyAlignment="1">
      <alignment horizontal="center"/>
    </xf>
    <xf numFmtId="0" fontId="12" fillId="0" borderId="0" xfId="0" quotePrefix="1" applyFont="1" applyAlignment="1">
      <alignment horizontal="center"/>
    </xf>
    <xf numFmtId="0" fontId="2" fillId="0" borderId="0" xfId="0" applyFont="1"/>
    <xf numFmtId="0" fontId="22" fillId="0" borderId="0" xfId="0" applyFont="1"/>
    <xf numFmtId="0" fontId="23" fillId="0" borderId="0" xfId="0" applyFont="1"/>
    <xf numFmtId="0" fontId="24" fillId="0" borderId="0" xfId="0" applyFont="1"/>
    <xf numFmtId="0" fontId="25" fillId="0" borderId="0" xfId="0" applyFont="1"/>
    <xf numFmtId="41" fontId="25" fillId="0" borderId="0" xfId="56" applyNumberFormat="1" applyFont="1"/>
    <xf numFmtId="0" fontId="26" fillId="0" borderId="0" xfId="0" applyFont="1" applyAlignment="1">
      <alignment horizontal="center"/>
    </xf>
    <xf numFmtId="172" fontId="5" fillId="0" borderId="0" xfId="0" applyNumberFormat="1" applyFont="1" applyAlignment="1">
      <alignment horizontal="center"/>
    </xf>
    <xf numFmtId="0" fontId="34" fillId="0" borderId="0" xfId="156" applyFont="1" applyProtection="1">
      <protection hidden="1"/>
    </xf>
    <xf numFmtId="0" fontId="30" fillId="0" borderId="0" xfId="90" applyFont="1" applyAlignment="1" applyProtection="1">
      <alignment horizontal="center"/>
    </xf>
    <xf numFmtId="0" fontId="35" fillId="0" borderId="0" xfId="0" applyFont="1"/>
    <xf numFmtId="172" fontId="5" fillId="0" borderId="0" xfId="0" applyNumberFormat="1" applyFont="1"/>
    <xf numFmtId="172" fontId="10" fillId="0" borderId="0" xfId="0" applyNumberFormat="1" applyFont="1" applyAlignment="1">
      <alignment horizontal="center"/>
    </xf>
    <xf numFmtId="172" fontId="5" fillId="0" borderId="0" xfId="0" applyNumberFormat="1" applyFont="1" applyAlignment="1">
      <alignment horizontal="right"/>
    </xf>
    <xf numFmtId="172" fontId="10" fillId="0" borderId="7" xfId="0" applyNumberFormat="1" applyFont="1" applyBorder="1" applyAlignment="1">
      <alignment horizontal="center"/>
    </xf>
    <xf numFmtId="172" fontId="3" fillId="0" borderId="0" xfId="0" applyNumberFormat="1" applyFont="1" applyAlignment="1">
      <alignment horizontal="center"/>
    </xf>
    <xf numFmtId="0" fontId="5" fillId="0" borderId="3" xfId="0" applyFont="1" applyBorder="1" applyAlignment="1" applyProtection="1">
      <alignment horizontal="center"/>
      <protection locked="0"/>
    </xf>
    <xf numFmtId="0" fontId="5" fillId="0" borderId="0" xfId="0" applyFont="1" applyAlignment="1">
      <alignment horizontal="right"/>
    </xf>
    <xf numFmtId="172" fontId="3" fillId="0" borderId="3" xfId="0" applyNumberFormat="1" applyFont="1" applyBorder="1" applyAlignment="1">
      <alignment horizontal="center"/>
    </xf>
    <xf numFmtId="0" fontId="36" fillId="0" borderId="0" xfId="0" applyFont="1"/>
    <xf numFmtId="172" fontId="3" fillId="0" borderId="7" xfId="0" applyNumberFormat="1" applyFont="1" applyBorder="1" applyAlignment="1">
      <alignment horizontal="center"/>
    </xf>
    <xf numFmtId="0" fontId="5" fillId="0" borderId="7" xfId="0" applyFont="1" applyBorder="1"/>
    <xf numFmtId="0" fontId="37" fillId="0" borderId="0" xfId="0" applyFont="1"/>
    <xf numFmtId="0" fontId="7" fillId="0" borderId="0" xfId="0" applyFont="1"/>
    <xf numFmtId="0" fontId="5" fillId="0" borderId="0" xfId="0" applyFont="1" applyAlignment="1">
      <alignment horizontal="center"/>
    </xf>
    <xf numFmtId="0" fontId="11" fillId="0" borderId="0" xfId="0" applyFont="1"/>
    <xf numFmtId="0" fontId="34" fillId="0" borderId="0" xfId="156" applyFont="1"/>
    <xf numFmtId="172" fontId="5" fillId="0" borderId="0" xfId="176" applyNumberFormat="1" applyFont="1" applyAlignment="1">
      <alignment horizontal="right"/>
    </xf>
    <xf numFmtId="0" fontId="40" fillId="0" borderId="0" xfId="155" applyFont="1"/>
    <xf numFmtId="0" fontId="41" fillId="0" borderId="0" xfId="155" applyFont="1"/>
    <xf numFmtId="0" fontId="41" fillId="0" borderId="0" xfId="155" applyFont="1" applyAlignment="1">
      <alignment horizontal="center"/>
    </xf>
    <xf numFmtId="0" fontId="41" fillId="0" borderId="0" xfId="155" applyFont="1" applyAlignment="1">
      <alignment horizontal="right"/>
    </xf>
    <xf numFmtId="0" fontId="41" fillId="0" borderId="3" xfId="155" applyFont="1" applyBorder="1" applyAlignment="1">
      <alignment horizontal="center"/>
    </xf>
    <xf numFmtId="0" fontId="41" fillId="0" borderId="7" xfId="155" applyFont="1" applyBorder="1"/>
    <xf numFmtId="0" fontId="42" fillId="0" borderId="0" xfId="155" applyFont="1" applyAlignment="1">
      <alignment horizontal="center"/>
    </xf>
    <xf numFmtId="0" fontId="42" fillId="0" borderId="3" xfId="155" applyFont="1" applyBorder="1" applyAlignment="1">
      <alignment horizontal="centerContinuous"/>
    </xf>
    <xf numFmtId="0" fontId="41" fillId="0" borderId="3" xfId="155" applyFont="1" applyBorder="1" applyAlignment="1">
      <alignment horizontal="centerContinuous"/>
    </xf>
    <xf numFmtId="0" fontId="42" fillId="0" borderId="0" xfId="155" applyFont="1" applyAlignment="1">
      <alignment horizontal="centerContinuous"/>
    </xf>
    <xf numFmtId="0" fontId="42" fillId="0" borderId="3" xfId="155" applyFont="1" applyBorder="1" applyAlignment="1">
      <alignment horizontal="center"/>
    </xf>
    <xf numFmtId="0" fontId="41" fillId="0" borderId="3" xfId="155" applyFont="1" applyBorder="1" applyAlignment="1" applyProtection="1">
      <alignment horizontal="center"/>
      <protection locked="0"/>
    </xf>
    <xf numFmtId="0" fontId="43" fillId="0" borderId="0" xfId="155" applyFont="1"/>
    <xf numFmtId="0" fontId="4" fillId="0" borderId="0" xfId="172" applyFont="1" applyProtection="1">
      <protection hidden="1"/>
    </xf>
    <xf numFmtId="0" fontId="4" fillId="0" borderId="0" xfId="172" applyFont="1"/>
    <xf numFmtId="0" fontId="3" fillId="0" borderId="0" xfId="172" applyFont="1" applyAlignment="1">
      <alignment horizontal="centerContinuous"/>
    </xf>
    <xf numFmtId="0" fontId="5" fillId="0" borderId="0" xfId="172" applyFont="1" applyAlignment="1">
      <alignment horizontal="centerContinuous"/>
    </xf>
    <xf numFmtId="0" fontId="5" fillId="0" borderId="0" xfId="172" applyFont="1"/>
    <xf numFmtId="0" fontId="5" fillId="0" borderId="0" xfId="172" applyFont="1" applyProtection="1">
      <protection hidden="1"/>
    </xf>
    <xf numFmtId="0" fontId="5" fillId="0" borderId="0" xfId="172" applyFont="1" applyAlignment="1">
      <alignment horizontal="left"/>
    </xf>
    <xf numFmtId="0" fontId="5" fillId="0" borderId="0" xfId="171" applyFont="1" applyAlignment="1">
      <alignment shrinkToFit="1"/>
    </xf>
    <xf numFmtId="0" fontId="5" fillId="0" borderId="7" xfId="172" applyFont="1" applyBorder="1"/>
    <xf numFmtId="0" fontId="5" fillId="0" borderId="7" xfId="172" applyFont="1" applyBorder="1" applyAlignment="1">
      <alignment horizontal="right"/>
    </xf>
    <xf numFmtId="0" fontId="3" fillId="0" borderId="0" xfId="172" applyFont="1" applyAlignment="1">
      <alignment horizontal="center"/>
    </xf>
    <xf numFmtId="0" fontId="3" fillId="0" borderId="0" xfId="171" applyFont="1" applyAlignment="1">
      <alignment horizontal="center"/>
    </xf>
    <xf numFmtId="0" fontId="5" fillId="0" borderId="0" xfId="171" applyFont="1"/>
    <xf numFmtId="0" fontId="5" fillId="0" borderId="0" xfId="171" applyFont="1" applyAlignment="1">
      <alignment horizontal="centerContinuous"/>
    </xf>
    <xf numFmtId="0" fontId="3" fillId="0" borderId="7" xfId="172" applyFont="1" applyBorder="1" applyAlignment="1">
      <alignment horizontal="center"/>
    </xf>
    <xf numFmtId="0" fontId="3" fillId="0" borderId="7" xfId="171" applyFont="1" applyBorder="1" applyAlignment="1">
      <alignment horizontal="center"/>
    </xf>
    <xf numFmtId="0" fontId="8" fillId="0" borderId="0" xfId="171" applyFont="1"/>
    <xf numFmtId="0" fontId="5" fillId="0" borderId="3" xfId="172" applyFont="1" applyBorder="1" applyAlignment="1">
      <alignment horizontal="center"/>
    </xf>
    <xf numFmtId="0" fontId="5" fillId="0" borderId="3" xfId="172" applyFont="1" applyBorder="1" applyAlignment="1" applyProtection="1">
      <alignment horizontal="center"/>
      <protection locked="0"/>
    </xf>
    <xf numFmtId="0" fontId="5" fillId="0" borderId="0" xfId="172" applyFont="1" applyAlignment="1">
      <alignment horizontal="center"/>
    </xf>
    <xf numFmtId="173" fontId="5" fillId="0" borderId="3" xfId="172" applyNumberFormat="1" applyFont="1" applyBorder="1" applyProtection="1">
      <protection locked="0"/>
    </xf>
    <xf numFmtId="0" fontId="5" fillId="0" borderId="3" xfId="171" applyFont="1" applyBorder="1" applyProtection="1">
      <protection locked="0"/>
    </xf>
    <xf numFmtId="171" fontId="5" fillId="0" borderId="3" xfId="171" applyNumberFormat="1" applyFont="1" applyBorder="1" applyProtection="1">
      <protection locked="0"/>
    </xf>
    <xf numFmtId="0" fontId="5" fillId="0" borderId="3" xfId="172" applyFont="1" applyBorder="1" applyProtection="1">
      <protection locked="0"/>
    </xf>
    <xf numFmtId="0" fontId="44" fillId="0" borderId="0" xfId="170" applyFont="1" applyAlignment="1" applyProtection="1">
      <alignment vertical="top"/>
      <protection hidden="1"/>
    </xf>
    <xf numFmtId="0" fontId="5" fillId="0" borderId="0" xfId="170" applyFont="1" applyProtection="1">
      <protection hidden="1"/>
    </xf>
    <xf numFmtId="0" fontId="5" fillId="0" borderId="0" xfId="171" applyFont="1" applyProtection="1">
      <protection hidden="1"/>
    </xf>
    <xf numFmtId="173" fontId="5" fillId="0" borderId="0" xfId="171" applyNumberFormat="1" applyFont="1"/>
    <xf numFmtId="171" fontId="5" fillId="0" borderId="3" xfId="172" applyNumberFormat="1" applyFont="1" applyBorder="1" applyProtection="1">
      <protection locked="0"/>
    </xf>
    <xf numFmtId="173" fontId="5" fillId="0" borderId="7" xfId="172" applyNumberFormat="1" applyFont="1" applyBorder="1"/>
    <xf numFmtId="0" fontId="3" fillId="0" borderId="0" xfId="172" applyFont="1"/>
    <xf numFmtId="0" fontId="38" fillId="0" borderId="0" xfId="172" applyFont="1"/>
    <xf numFmtId="0" fontId="38" fillId="0" borderId="0" xfId="172" applyFont="1" applyProtection="1">
      <protection hidden="1"/>
    </xf>
    <xf numFmtId="0" fontId="45" fillId="0" borderId="0" xfId="172" applyFont="1"/>
    <xf numFmtId="0" fontId="45" fillId="0" borderId="0" xfId="172" applyFont="1" applyAlignment="1">
      <alignment horizontal="center"/>
    </xf>
    <xf numFmtId="0" fontId="5" fillId="0" borderId="0" xfId="172" applyFont="1" applyAlignment="1">
      <alignment horizontal="right"/>
    </xf>
    <xf numFmtId="173" fontId="5" fillId="0" borderId="0" xfId="172" applyNumberFormat="1" applyFont="1"/>
    <xf numFmtId="171" fontId="5" fillId="0" borderId="0" xfId="172" applyNumberFormat="1" applyFont="1"/>
    <xf numFmtId="0" fontId="3" fillId="0" borderId="0" xfId="172" applyFont="1" applyAlignment="1" applyProtection="1">
      <alignment horizontal="center"/>
      <protection hidden="1"/>
    </xf>
    <xf numFmtId="0" fontId="2" fillId="0" borderId="7" xfId="0" applyFont="1" applyBorder="1"/>
    <xf numFmtId="0" fontId="2" fillId="0" borderId="7" xfId="159" applyFont="1" applyBorder="1" applyAlignment="1">
      <alignment horizontal="right"/>
    </xf>
    <xf numFmtId="0" fontId="2" fillId="0" borderId="7" xfId="159" applyFont="1" applyBorder="1" applyAlignment="1">
      <alignment horizontal="center" shrinkToFit="1"/>
    </xf>
    <xf numFmtId="0" fontId="2" fillId="0" borderId="14" xfId="0" applyFont="1" applyBorder="1"/>
    <xf numFmtId="173" fontId="2" fillId="0" borderId="14" xfId="0" applyNumberFormat="1" applyFont="1" applyBorder="1"/>
    <xf numFmtId="173" fontId="2" fillId="0" borderId="0" xfId="0" applyNumberFormat="1" applyFont="1"/>
    <xf numFmtId="172" fontId="2" fillId="0" borderId="0" xfId="169" applyNumberFormat="1" applyFont="1"/>
    <xf numFmtId="172" fontId="15" fillId="0" borderId="0" xfId="169" applyNumberFormat="1" applyFont="1" applyAlignment="1">
      <alignment horizontal="centerContinuous"/>
    </xf>
    <xf numFmtId="172" fontId="2" fillId="0" borderId="0" xfId="169" applyNumberFormat="1" applyFont="1" applyAlignment="1">
      <alignment horizontal="centerContinuous"/>
    </xf>
    <xf numFmtId="172" fontId="12" fillId="0" borderId="0" xfId="169" applyNumberFormat="1" applyFont="1"/>
    <xf numFmtId="172" fontId="3" fillId="0" borderId="0" xfId="169" applyNumberFormat="1" applyFont="1"/>
    <xf numFmtId="172" fontId="5" fillId="0" borderId="0" xfId="169" applyNumberFormat="1" applyFont="1"/>
    <xf numFmtId="172" fontId="5" fillId="0" borderId="0" xfId="169" applyNumberFormat="1" applyFont="1" applyAlignment="1">
      <alignment horizontal="right"/>
    </xf>
    <xf numFmtId="172" fontId="11" fillId="0" borderId="0" xfId="169" applyNumberFormat="1" applyFont="1"/>
    <xf numFmtId="172" fontId="3" fillId="0" borderId="0" xfId="169" applyNumberFormat="1" applyFont="1" applyAlignment="1">
      <alignment horizontal="right"/>
    </xf>
    <xf numFmtId="172" fontId="33" fillId="0" borderId="0" xfId="169" applyNumberFormat="1" applyFont="1"/>
    <xf numFmtId="173" fontId="5" fillId="0" borderId="3" xfId="167" applyNumberFormat="1" applyFont="1" applyBorder="1" applyProtection="1">
      <protection locked="0"/>
    </xf>
    <xf numFmtId="172" fontId="33" fillId="0" borderId="0" xfId="169" applyNumberFormat="1" applyFont="1" applyAlignment="1">
      <alignment horizontal="center"/>
    </xf>
    <xf numFmtId="49" fontId="33" fillId="0" borderId="0" xfId="169" applyNumberFormat="1" applyFont="1" applyAlignment="1">
      <alignment horizontal="center"/>
    </xf>
    <xf numFmtId="172" fontId="33" fillId="0" borderId="7" xfId="169" applyNumberFormat="1" applyFont="1" applyBorder="1"/>
    <xf numFmtId="172" fontId="33" fillId="0" borderId="7" xfId="169" applyNumberFormat="1" applyFont="1" applyBorder="1" applyAlignment="1">
      <alignment horizontal="center"/>
    </xf>
    <xf numFmtId="172" fontId="28" fillId="0" borderId="0" xfId="169" applyNumberFormat="1" applyFont="1"/>
    <xf numFmtId="0" fontId="15" fillId="0" borderId="0" xfId="175" applyFont="1" applyAlignment="1">
      <alignment horizontal="center"/>
    </xf>
    <xf numFmtId="0" fontId="15" fillId="0" borderId="0" xfId="175" applyFont="1"/>
    <xf numFmtId="169" fontId="2" fillId="0" borderId="0" xfId="0" applyNumberFormat="1" applyFont="1"/>
    <xf numFmtId="0" fontId="2" fillId="0" borderId="0" xfId="175" applyFont="1"/>
    <xf numFmtId="0" fontId="2" fillId="0" borderId="0" xfId="175" applyFont="1" applyAlignment="1">
      <alignment horizontal="center"/>
    </xf>
    <xf numFmtId="0" fontId="28" fillId="0" borderId="0" xfId="166" applyFont="1"/>
    <xf numFmtId="0" fontId="2" fillId="0" borderId="0" xfId="175" applyFont="1" applyAlignment="1">
      <alignment shrinkToFit="1"/>
    </xf>
    <xf numFmtId="0" fontId="2" fillId="0" borderId="0" xfId="175" applyFont="1" applyAlignment="1">
      <alignment horizontal="center" shrinkToFit="1"/>
    </xf>
    <xf numFmtId="0" fontId="5" fillId="0" borderId="7" xfId="161" applyFont="1" applyBorder="1"/>
    <xf numFmtId="0" fontId="2" fillId="0" borderId="0" xfId="161" applyFont="1"/>
    <xf numFmtId="0" fontId="48" fillId="0" borderId="0" xfId="0" applyFont="1" applyAlignment="1">
      <alignment horizontal="left"/>
    </xf>
    <xf numFmtId="0" fontId="48" fillId="0" borderId="0" xfId="0" applyFont="1"/>
    <xf numFmtId="170" fontId="2" fillId="0" borderId="0" xfId="65" applyNumberFormat="1" applyProtection="1">
      <protection locked="0"/>
    </xf>
    <xf numFmtId="167" fontId="8" fillId="0" borderId="0" xfId="0" applyNumberFormat="1" applyFont="1"/>
    <xf numFmtId="169" fontId="2" fillId="0" borderId="0" xfId="0" applyNumberFormat="1" applyFont="1" applyProtection="1">
      <protection locked="0"/>
    </xf>
    <xf numFmtId="167" fontId="12" fillId="0" borderId="0" xfId="0" applyNumberFormat="1" applyFont="1"/>
    <xf numFmtId="177" fontId="12" fillId="0" borderId="0" xfId="0" applyNumberFormat="1" applyFont="1"/>
    <xf numFmtId="175" fontId="49" fillId="0" borderId="0" xfId="0" applyNumberFormat="1" applyFont="1"/>
    <xf numFmtId="175" fontId="48" fillId="0" borderId="0" xfId="0" applyNumberFormat="1" applyFont="1"/>
    <xf numFmtId="169" fontId="50" fillId="0" borderId="0" xfId="194" applyNumberFormat="1" applyFont="1" applyBorder="1" applyAlignment="1">
      <alignment horizontal="center"/>
    </xf>
    <xf numFmtId="0" fontId="8" fillId="0" borderId="0" xfId="0" applyFont="1"/>
    <xf numFmtId="174" fontId="48" fillId="0" borderId="0" xfId="0" applyNumberFormat="1" applyFont="1"/>
    <xf numFmtId="170" fontId="2" fillId="0" borderId="0" xfId="0" applyNumberFormat="1" applyFont="1" applyProtection="1">
      <protection locked="0"/>
    </xf>
    <xf numFmtId="169" fontId="21" fillId="0" borderId="0" xfId="0" applyNumberFormat="1" applyFont="1"/>
    <xf numFmtId="0" fontId="5" fillId="0" borderId="0" xfId="161" applyFont="1"/>
    <xf numFmtId="15" fontId="0" fillId="0" borderId="0" xfId="0" quotePrefix="1" applyNumberFormat="1"/>
    <xf numFmtId="169" fontId="51" fillId="24" borderId="3" xfId="192" applyNumberFormat="1" applyFont="1" applyFill="1" applyBorder="1" applyAlignment="1">
      <alignment horizontal="center"/>
    </xf>
    <xf numFmtId="169" fontId="18" fillId="0" borderId="0" xfId="0" applyNumberFormat="1" applyFont="1"/>
    <xf numFmtId="169" fontId="52" fillId="0" borderId="0" xfId="0" applyNumberFormat="1" applyFont="1"/>
    <xf numFmtId="0" fontId="52" fillId="0" borderId="0" xfId="0" applyFont="1"/>
    <xf numFmtId="164" fontId="51" fillId="24" borderId="3" xfId="192" applyFont="1" applyFill="1" applyBorder="1" applyAlignment="1">
      <alignment horizontal="center"/>
    </xf>
    <xf numFmtId="169" fontId="0" fillId="0" borderId="0" xfId="0" applyNumberFormat="1"/>
    <xf numFmtId="168" fontId="53" fillId="0" borderId="0" xfId="0" applyNumberFormat="1" applyFont="1"/>
    <xf numFmtId="0" fontId="21" fillId="0" borderId="0" xfId="0" applyFont="1"/>
    <xf numFmtId="0" fontId="14" fillId="0" borderId="0" xfId="158" applyFont="1"/>
    <xf numFmtId="0" fontId="55" fillId="0" borderId="0" xfId="158" applyFont="1"/>
    <xf numFmtId="0" fontId="5" fillId="0" borderId="0" xfId="158" applyFont="1"/>
    <xf numFmtId="0" fontId="5" fillId="0" borderId="0" xfId="158" applyFont="1" applyAlignment="1">
      <alignment horizontal="center"/>
    </xf>
    <xf numFmtId="0" fontId="5" fillId="0" borderId="0" xfId="158" quotePrefix="1" applyFont="1"/>
    <xf numFmtId="0" fontId="5" fillId="0" borderId="7" xfId="158" applyFont="1" applyBorder="1"/>
    <xf numFmtId="0" fontId="4" fillId="0" borderId="0" xfId="158" applyFont="1"/>
    <xf numFmtId="0" fontId="10" fillId="0" borderId="3" xfId="158" applyFont="1" applyBorder="1"/>
    <xf numFmtId="0" fontId="12" fillId="0" borderId="0" xfId="158" applyFont="1"/>
    <xf numFmtId="0" fontId="4" fillId="0" borderId="11" xfId="158" applyFont="1" applyBorder="1" applyAlignment="1" applyProtection="1">
      <alignment horizontal="center"/>
      <protection locked="0"/>
    </xf>
    <xf numFmtId="0" fontId="5" fillId="0" borderId="3" xfId="158" applyFont="1" applyBorder="1" applyAlignment="1">
      <alignment horizontal="center"/>
    </xf>
    <xf numFmtId="49" fontId="5" fillId="0" borderId="0" xfId="158" applyNumberFormat="1" applyFont="1"/>
    <xf numFmtId="0" fontId="19" fillId="0" borderId="0" xfId="180" applyFont="1"/>
    <xf numFmtId="171" fontId="19" fillId="0" borderId="0" xfId="180" applyNumberFormat="1" applyFont="1"/>
    <xf numFmtId="0" fontId="59" fillId="0" borderId="15" xfId="90" applyFont="1" applyBorder="1" applyAlignment="1" applyProtection="1">
      <alignment wrapText="1"/>
    </xf>
    <xf numFmtId="0" fontId="59" fillId="0" borderId="15" xfId="90" applyFont="1" applyBorder="1" applyAlignment="1" applyProtection="1">
      <alignment horizontal="center"/>
    </xf>
    <xf numFmtId="0" fontId="62" fillId="0" borderId="0" xfId="175" applyFont="1" applyAlignment="1" applyProtection="1">
      <alignment horizontal="center" shrinkToFit="1"/>
      <protection locked="0"/>
    </xf>
    <xf numFmtId="167" fontId="8" fillId="0" borderId="0" xfId="0" applyNumberFormat="1" applyFont="1" applyAlignment="1">
      <alignment horizontal="left"/>
    </xf>
    <xf numFmtId="0" fontId="63" fillId="0" borderId="0" xfId="175" applyFont="1"/>
    <xf numFmtId="0" fontId="63" fillId="0" borderId="0" xfId="175" applyFont="1" applyAlignment="1">
      <alignment horizontal="right"/>
    </xf>
    <xf numFmtId="0" fontId="63" fillId="0" borderId="11" xfId="175" applyFont="1" applyBorder="1" applyAlignment="1">
      <alignment horizontal="left"/>
    </xf>
    <xf numFmtId="170" fontId="21" fillId="0" borderId="0" xfId="0" applyNumberFormat="1" applyFont="1"/>
    <xf numFmtId="0" fontId="5" fillId="0" borderId="16" xfId="161" applyFont="1" applyBorder="1"/>
    <xf numFmtId="179" fontId="2" fillId="0" borderId="0" xfId="0" applyNumberFormat="1" applyFont="1" applyProtection="1">
      <protection locked="0"/>
    </xf>
    <xf numFmtId="179" fontId="12" fillId="0" borderId="0" xfId="0" applyNumberFormat="1" applyFont="1"/>
    <xf numFmtId="179" fontId="21" fillId="0" borderId="0" xfId="190" applyNumberFormat="1" applyFont="1" applyBorder="1" applyProtection="1"/>
    <xf numFmtId="0" fontId="67" fillId="0" borderId="0" xfId="0" applyFont="1" applyAlignment="1">
      <alignment horizontal="center"/>
    </xf>
    <xf numFmtId="179" fontId="2" fillId="0" borderId="0" xfId="0" applyNumberFormat="1" applyFont="1"/>
    <xf numFmtId="179" fontId="48" fillId="0" borderId="0" xfId="0" applyNumberFormat="1" applyFont="1"/>
    <xf numFmtId="179" fontId="8" fillId="0" borderId="0" xfId="0" applyNumberFormat="1" applyFont="1"/>
    <xf numFmtId="179" fontId="21" fillId="0" borderId="0" xfId="188" applyNumberFormat="1" applyFont="1" applyBorder="1" applyProtection="1"/>
    <xf numFmtId="179" fontId="48" fillId="0" borderId="0" xfId="0" applyNumberFormat="1" applyFont="1" applyAlignment="1">
      <alignment horizontal="left"/>
    </xf>
    <xf numFmtId="179" fontId="49" fillId="0" borderId="0" xfId="0" applyNumberFormat="1" applyFont="1"/>
    <xf numFmtId="179" fontId="21" fillId="0" borderId="0" xfId="0" applyNumberFormat="1" applyFont="1"/>
    <xf numFmtId="0" fontId="2" fillId="0" borderId="7" xfId="161" applyFont="1" applyBorder="1"/>
    <xf numFmtId="0" fontId="12" fillId="0" borderId="0" xfId="0" applyFont="1" applyAlignment="1">
      <alignment horizontal="left" indent="2"/>
    </xf>
    <xf numFmtId="0" fontId="64" fillId="0" borderId="0" xfId="0" applyFont="1"/>
    <xf numFmtId="0" fontId="65" fillId="0" borderId="0" xfId="0" applyFont="1"/>
    <xf numFmtId="0" fontId="66" fillId="0" borderId="0" xfId="0" applyFont="1"/>
    <xf numFmtId="0" fontId="70" fillId="0" borderId="0" xfId="0" applyFont="1" applyAlignment="1">
      <alignment horizontal="center"/>
    </xf>
    <xf numFmtId="0" fontId="12" fillId="0" borderId="0" xfId="0" applyFont="1" applyAlignment="1">
      <alignment horizontal="left"/>
    </xf>
    <xf numFmtId="41" fontId="12" fillId="0" borderId="0" xfId="0" applyNumberFormat="1" applyFont="1" applyProtection="1">
      <protection locked="0"/>
    </xf>
    <xf numFmtId="0" fontId="28" fillId="0" borderId="3" xfId="0" applyFont="1" applyBorder="1" applyAlignment="1">
      <alignment horizontal="center"/>
    </xf>
    <xf numFmtId="0" fontId="28" fillId="0" borderId="0" xfId="0" quotePrefix="1" applyFont="1" applyAlignment="1">
      <alignment horizontal="center"/>
    </xf>
    <xf numFmtId="0" fontId="28" fillId="0" borderId="0" xfId="0" applyFont="1"/>
    <xf numFmtId="0" fontId="28" fillId="0" borderId="0" xfId="0" applyFont="1" applyAlignment="1">
      <alignment horizontal="center"/>
    </xf>
    <xf numFmtId="0" fontId="74" fillId="0" borderId="0" xfId="0" applyFont="1"/>
    <xf numFmtId="0" fontId="64" fillId="0" borderId="0" xfId="0" applyFont="1" applyAlignment="1">
      <alignment horizontal="left" indent="1"/>
    </xf>
    <xf numFmtId="0" fontId="28" fillId="0" borderId="0" xfId="0" applyFont="1" applyAlignment="1">
      <alignment horizontal="left"/>
    </xf>
    <xf numFmtId="0" fontId="73" fillId="0" borderId="0" xfId="0" applyFont="1"/>
    <xf numFmtId="169" fontId="3" fillId="0" borderId="0" xfId="0" applyNumberFormat="1" applyFont="1" applyProtection="1">
      <protection locked="0"/>
    </xf>
    <xf numFmtId="0" fontId="19" fillId="0" borderId="0" xfId="0" applyFont="1" applyProtection="1">
      <protection hidden="1"/>
    </xf>
    <xf numFmtId="49" fontId="19" fillId="0" borderId="0" xfId="0" applyNumberFormat="1" applyFont="1" applyAlignment="1" applyProtection="1">
      <alignment horizontal="center"/>
      <protection hidden="1"/>
    </xf>
    <xf numFmtId="0" fontId="57" fillId="0" borderId="0" xfId="0" applyFont="1" applyAlignment="1" applyProtection="1">
      <alignment horizontal="center"/>
      <protection hidden="1"/>
    </xf>
    <xf numFmtId="0" fontId="58" fillId="0" borderId="0" xfId="0" applyFont="1" applyAlignment="1" applyProtection="1">
      <alignment horizontal="center"/>
      <protection hidden="1"/>
    </xf>
    <xf numFmtId="0" fontId="19" fillId="0" borderId="0" xfId="0" applyFont="1" applyProtection="1">
      <protection locked="0"/>
    </xf>
    <xf numFmtId="0" fontId="58" fillId="0" borderId="0" xfId="0" applyFont="1"/>
    <xf numFmtId="0" fontId="60" fillId="0" borderId="0" xfId="0" applyFont="1"/>
    <xf numFmtId="0" fontId="19" fillId="0" borderId="0" xfId="0" applyFont="1" applyAlignment="1">
      <alignment horizontal="center"/>
    </xf>
    <xf numFmtId="0" fontId="19" fillId="0" borderId="17" xfId="0" applyFont="1" applyBorder="1"/>
    <xf numFmtId="0" fontId="59" fillId="0" borderId="0" xfId="0" applyFont="1" applyAlignment="1">
      <alignment horizontal="center"/>
    </xf>
    <xf numFmtId="0" fontId="59" fillId="0" borderId="0" xfId="0" applyFont="1" applyAlignment="1" applyProtection="1">
      <alignment horizontal="center"/>
      <protection hidden="1"/>
    </xf>
    <xf numFmtId="0" fontId="60" fillId="0" borderId="0" xfId="0" applyFont="1" applyProtection="1">
      <protection hidden="1"/>
    </xf>
    <xf numFmtId="171" fontId="59" fillId="0" borderId="0" xfId="0" applyNumberFormat="1" applyFont="1" applyAlignment="1" applyProtection="1">
      <alignment horizontal="center"/>
      <protection hidden="1"/>
    </xf>
    <xf numFmtId="171" fontId="19" fillId="0" borderId="0" xfId="0" applyNumberFormat="1" applyFont="1"/>
    <xf numFmtId="0" fontId="19" fillId="0" borderId="0" xfId="180" applyFont="1" applyProtection="1">
      <protection locked="0"/>
    </xf>
    <xf numFmtId="0" fontId="57" fillId="0" borderId="15" xfId="0" applyFont="1" applyBorder="1" applyAlignment="1">
      <alignment horizontal="center"/>
    </xf>
    <xf numFmtId="0" fontId="57" fillId="0" borderId="17" xfId="0" applyFont="1" applyBorder="1" applyAlignment="1">
      <alignment horizontal="center" wrapText="1"/>
    </xf>
    <xf numFmtId="0" fontId="75" fillId="25" borderId="15" xfId="180" applyFont="1" applyFill="1" applyBorder="1" applyAlignment="1">
      <alignment horizontal="center" vertical="center" wrapText="1"/>
    </xf>
    <xf numFmtId="0" fontId="60" fillId="0" borderId="17" xfId="180" applyFont="1" applyBorder="1" applyAlignment="1">
      <alignment horizontal="center"/>
    </xf>
    <xf numFmtId="0" fontId="59" fillId="0" borderId="15" xfId="90" applyFont="1" applyBorder="1" applyAlignment="1" applyProtection="1">
      <alignment horizontal="center" shrinkToFit="1"/>
    </xf>
    <xf numFmtId="0" fontId="19" fillId="0" borderId="0" xfId="180" applyFont="1" applyAlignment="1">
      <alignment horizontal="center"/>
    </xf>
    <xf numFmtId="0" fontId="60" fillId="0" borderId="0" xfId="180" applyFont="1" applyAlignment="1">
      <alignment horizontal="center"/>
    </xf>
    <xf numFmtId="0" fontId="59" fillId="0" borderId="0" xfId="90" applyFont="1" applyAlignment="1" applyProtection="1"/>
    <xf numFmtId="0" fontId="19" fillId="0" borderId="0" xfId="90" applyFont="1" applyAlignment="1" applyProtection="1"/>
    <xf numFmtId="0" fontId="61" fillId="0" borderId="0" xfId="90" applyFont="1" applyAlignment="1" applyProtection="1"/>
    <xf numFmtId="0" fontId="61" fillId="0" borderId="0" xfId="90" applyFont="1" applyAlignment="1">
      <protection locked="0"/>
    </xf>
    <xf numFmtId="0" fontId="19" fillId="0" borderId="0" xfId="0" applyFont="1" applyAlignment="1" applyProtection="1">
      <alignment horizontal="center"/>
      <protection locked="0"/>
    </xf>
    <xf numFmtId="0" fontId="19" fillId="0" borderId="0" xfId="0" applyFont="1" applyAlignment="1" applyProtection="1">
      <alignment horizontal="left"/>
      <protection locked="0"/>
    </xf>
    <xf numFmtId="49" fontId="19" fillId="0" borderId="0" xfId="0" applyNumberFormat="1" applyFont="1"/>
    <xf numFmtId="49" fontId="19" fillId="0" borderId="0" xfId="0" applyNumberFormat="1" applyFont="1" applyProtection="1">
      <protection locked="0"/>
    </xf>
    <xf numFmtId="0" fontId="57" fillId="0" borderId="0" xfId="176" applyFont="1"/>
    <xf numFmtId="0" fontId="19" fillId="0" borderId="0" xfId="176" applyFont="1"/>
    <xf numFmtId="3" fontId="19" fillId="0" borderId="0" xfId="0" applyNumberFormat="1" applyFont="1" applyProtection="1">
      <protection hidden="1"/>
    </xf>
    <xf numFmtId="0" fontId="5" fillId="0" borderId="0" xfId="171" applyFont="1" applyAlignment="1">
      <alignment horizontal="center" shrinkToFit="1"/>
    </xf>
    <xf numFmtId="172" fontId="5" fillId="0" borderId="0" xfId="169" applyNumberFormat="1" applyFont="1" applyAlignment="1">
      <alignment horizontal="center" shrinkToFit="1"/>
    </xf>
    <xf numFmtId="0" fontId="46" fillId="0" borderId="0" xfId="169" applyFont="1" applyAlignment="1">
      <alignment horizontal="center" shrinkToFit="1"/>
    </xf>
    <xf numFmtId="0" fontId="29" fillId="0" borderId="0" xfId="169"/>
    <xf numFmtId="0" fontId="5" fillId="0" borderId="16" xfId="172" applyFont="1" applyBorder="1"/>
    <xf numFmtId="172" fontId="5" fillId="0" borderId="0" xfId="164" applyNumberFormat="1" applyFont="1" applyAlignment="1">
      <alignment horizontal="right"/>
    </xf>
    <xf numFmtId="172" fontId="5" fillId="0" borderId="0" xfId="162" applyNumberFormat="1" applyFont="1" applyAlignment="1">
      <alignment shrinkToFit="1"/>
    </xf>
    <xf numFmtId="172" fontId="24" fillId="0" borderId="0" xfId="169" applyNumberFormat="1" applyFont="1"/>
    <xf numFmtId="0" fontId="19" fillId="0" borderId="18" xfId="0" applyFont="1" applyBorder="1"/>
    <xf numFmtId="0" fontId="76" fillId="0" borderId="0" xfId="0" applyFont="1"/>
    <xf numFmtId="15" fontId="0" fillId="0" borderId="0" xfId="0" applyNumberFormat="1"/>
    <xf numFmtId="0" fontId="78" fillId="0" borderId="17" xfId="0" applyFont="1" applyBorder="1" applyAlignment="1">
      <alignment horizontal="center" wrapText="1"/>
    </xf>
    <xf numFmtId="3" fontId="2" fillId="0" borderId="0" xfId="175" applyNumberFormat="1" applyFont="1"/>
    <xf numFmtId="3" fontId="5" fillId="0" borderId="7" xfId="161" applyNumberFormat="1" applyFont="1" applyBorder="1"/>
    <xf numFmtId="3" fontId="0" fillId="0" borderId="0" xfId="0" applyNumberFormat="1"/>
    <xf numFmtId="3" fontId="51" fillId="24" borderId="3" xfId="192" applyNumberFormat="1" applyFont="1" applyFill="1" applyBorder="1" applyAlignment="1">
      <alignment horizontal="center"/>
    </xf>
    <xf numFmtId="3" fontId="50" fillId="0" borderId="0" xfId="194" applyNumberFormat="1" applyFont="1" applyBorder="1" applyAlignment="1">
      <alignment horizontal="center"/>
    </xf>
    <xf numFmtId="3" fontId="21" fillId="0" borderId="0" xfId="0" applyNumberFormat="1" applyFont="1" applyAlignment="1">
      <alignment horizontal="center"/>
    </xf>
    <xf numFmtId="179" fontId="0" fillId="0" borderId="0" xfId="0" applyNumberFormat="1"/>
    <xf numFmtId="179" fontId="53" fillId="0" borderId="0" xfId="0" applyNumberFormat="1" applyFont="1"/>
    <xf numFmtId="0" fontId="79" fillId="0" borderId="0" xfId="0" applyFont="1"/>
    <xf numFmtId="0" fontId="80" fillId="0" borderId="0" xfId="0" applyFont="1"/>
    <xf numFmtId="3" fontId="81" fillId="0" borderId="0" xfId="0" applyNumberFormat="1" applyFont="1"/>
    <xf numFmtId="0" fontId="82" fillId="0" borderId="0" xfId="0" applyFont="1" applyAlignment="1">
      <alignment horizontal="right"/>
    </xf>
    <xf numFmtId="0" fontId="83" fillId="0" borderId="0" xfId="0" applyFont="1" applyAlignment="1">
      <alignment horizontal="right"/>
    </xf>
    <xf numFmtId="10" fontId="32" fillId="0" borderId="0" xfId="0" applyNumberFormat="1" applyFont="1"/>
    <xf numFmtId="44" fontId="84" fillId="0" borderId="0" xfId="0" applyNumberFormat="1" applyFont="1"/>
    <xf numFmtId="0" fontId="83" fillId="0" borderId="0" xfId="0" applyFont="1" applyAlignment="1">
      <alignment horizontal="center"/>
    </xf>
    <xf numFmtId="0" fontId="85" fillId="0" borderId="0" xfId="0" applyFont="1" applyAlignment="1">
      <alignment horizontal="left"/>
    </xf>
    <xf numFmtId="0" fontId="31" fillId="0" borderId="0" xfId="176" applyFont="1" applyAlignment="1">
      <alignment horizontal="right" vertical="center"/>
    </xf>
    <xf numFmtId="0" fontId="0" fillId="0" borderId="0" xfId="0" applyAlignment="1">
      <alignment horizontal="right"/>
    </xf>
    <xf numFmtId="0" fontId="86" fillId="0" borderId="3" xfId="0" applyFont="1" applyBorder="1" applyAlignment="1">
      <alignment horizontal="center"/>
    </xf>
    <xf numFmtId="0" fontId="81" fillId="0" borderId="0" xfId="0" applyFont="1"/>
    <xf numFmtId="172" fontId="5" fillId="0" borderId="0" xfId="164" applyNumberFormat="1" applyFont="1" applyAlignment="1">
      <alignment horizontal="left"/>
    </xf>
    <xf numFmtId="0" fontId="2" fillId="0" borderId="0" xfId="175" applyFont="1" applyAlignment="1">
      <alignment horizontal="left"/>
    </xf>
    <xf numFmtId="0" fontId="57" fillId="0" borderId="17" xfId="0" applyFont="1" applyBorder="1" applyAlignment="1" applyProtection="1">
      <alignment horizontal="center" wrapText="1"/>
      <protection locked="0"/>
    </xf>
    <xf numFmtId="0" fontId="77" fillId="0" borderId="7" xfId="161" applyFont="1" applyBorder="1"/>
    <xf numFmtId="0" fontId="81" fillId="0" borderId="7" xfId="161" applyFont="1" applyBorder="1"/>
    <xf numFmtId="0" fontId="32" fillId="0" borderId="0" xfId="0" applyFont="1"/>
    <xf numFmtId="0" fontId="8" fillId="0" borderId="0" xfId="0" applyFont="1" applyAlignment="1">
      <alignment horizontal="center"/>
    </xf>
    <xf numFmtId="0" fontId="8" fillId="0" borderId="0" xfId="0" applyFont="1" applyAlignment="1">
      <alignment horizontal="left"/>
    </xf>
    <xf numFmtId="0" fontId="5" fillId="0" borderId="0" xfId="0" applyFont="1" applyAlignment="1">
      <alignment horizontal="left" indent="1"/>
    </xf>
    <xf numFmtId="0" fontId="6" fillId="0" borderId="0" xfId="0" applyFont="1"/>
    <xf numFmtId="0" fontId="4" fillId="0" borderId="0" xfId="174" applyFont="1"/>
    <xf numFmtId="0" fontId="11" fillId="0" borderId="0" xfId="174" applyFont="1" applyAlignment="1">
      <alignment horizontal="center"/>
    </xf>
    <xf numFmtId="0" fontId="5" fillId="0" borderId="0" xfId="174" applyFont="1"/>
    <xf numFmtId="0" fontId="3" fillId="0" borderId="0" xfId="174" applyFont="1"/>
    <xf numFmtId="0" fontId="3" fillId="0" borderId="0" xfId="174" applyFont="1" applyAlignment="1">
      <alignment horizontal="right"/>
    </xf>
    <xf numFmtId="0" fontId="3" fillId="0" borderId="7" xfId="174" applyFont="1" applyBorder="1"/>
    <xf numFmtId="0" fontId="5" fillId="0" borderId="7" xfId="174" applyFont="1" applyBorder="1" applyAlignment="1">
      <alignment horizontal="center" shrinkToFit="1"/>
    </xf>
    <xf numFmtId="0" fontId="5" fillId="0" borderId="7" xfId="174" applyFont="1" applyBorder="1"/>
    <xf numFmtId="0" fontId="3" fillId="0" borderId="3" xfId="174" applyFont="1" applyBorder="1" applyAlignment="1">
      <alignment horizontal="center"/>
    </xf>
    <xf numFmtId="0" fontId="3" fillId="0" borderId="0" xfId="174" applyFont="1" applyAlignment="1">
      <alignment horizontal="center"/>
    </xf>
    <xf numFmtId="0" fontId="5" fillId="0" borderId="11" xfId="174" applyFont="1" applyBorder="1" applyProtection="1">
      <protection locked="0"/>
    </xf>
    <xf numFmtId="173" fontId="5" fillId="0" borderId="11" xfId="174" applyNumberFormat="1" applyFont="1" applyBorder="1" applyProtection="1">
      <protection locked="0"/>
    </xf>
    <xf numFmtId="37" fontId="5" fillId="0" borderId="0" xfId="174" applyNumberFormat="1" applyFont="1"/>
    <xf numFmtId="0" fontId="5" fillId="0" borderId="0" xfId="168" applyFont="1"/>
    <xf numFmtId="0" fontId="5" fillId="0" borderId="3" xfId="174" applyFont="1" applyBorder="1" applyProtection="1">
      <protection locked="0"/>
    </xf>
    <xf numFmtId="173" fontId="5" fillId="0" borderId="3" xfId="174" applyNumberFormat="1" applyFont="1" applyBorder="1" applyProtection="1">
      <protection locked="0"/>
    </xf>
    <xf numFmtId="173" fontId="5" fillId="0" borderId="3" xfId="168" applyNumberFormat="1" applyFont="1" applyBorder="1"/>
    <xf numFmtId="9" fontId="5" fillId="0" borderId="3" xfId="200" applyFont="1" applyBorder="1" applyAlignment="1">
      <alignment horizontal="right"/>
    </xf>
    <xf numFmtId="0" fontId="2" fillId="0" borderId="0" xfId="174" applyFont="1"/>
    <xf numFmtId="0" fontId="33" fillId="0" borderId="0" xfId="174"/>
    <xf numFmtId="0" fontId="4" fillId="0" borderId="0" xfId="157" applyFont="1" applyProtection="1">
      <protection hidden="1"/>
    </xf>
    <xf numFmtId="0" fontId="105" fillId="0" borderId="0" xfId="157" applyFont="1" applyProtection="1">
      <protection hidden="1"/>
    </xf>
    <xf numFmtId="0" fontId="5" fillId="0" borderId="0" xfId="174" applyFont="1" applyAlignment="1">
      <alignment horizontal="center" shrinkToFit="1"/>
    </xf>
    <xf numFmtId="3" fontId="59" fillId="0" borderId="0" xfId="0" applyNumberFormat="1" applyFont="1" applyProtection="1">
      <protection hidden="1"/>
    </xf>
    <xf numFmtId="0" fontId="57" fillId="0" borderId="0" xfId="0" applyFont="1"/>
    <xf numFmtId="0" fontId="5" fillId="0" borderId="0" xfId="172" applyFont="1" applyAlignment="1" applyProtection="1">
      <alignment horizontal="center"/>
      <protection locked="0"/>
    </xf>
    <xf numFmtId="173" fontId="5" fillId="0" borderId="0" xfId="172" applyNumberFormat="1" applyFont="1" applyProtection="1">
      <protection locked="0"/>
    </xf>
    <xf numFmtId="0" fontId="5" fillId="0" borderId="0" xfId="172" applyFont="1" applyProtection="1">
      <protection locked="0"/>
    </xf>
    <xf numFmtId="171" fontId="5" fillId="0" borderId="0" xfId="172" applyNumberFormat="1" applyFont="1" applyProtection="1">
      <protection locked="0"/>
    </xf>
    <xf numFmtId="179" fontId="153" fillId="0" borderId="0" xfId="0" applyNumberFormat="1" applyFont="1" applyProtection="1">
      <protection locked="0"/>
    </xf>
    <xf numFmtId="179" fontId="5" fillId="0" borderId="0" xfId="0" applyNumberFormat="1" applyFont="1" applyProtection="1">
      <protection locked="0"/>
    </xf>
    <xf numFmtId="0" fontId="154" fillId="0" borderId="0" xfId="0" applyFont="1" applyProtection="1">
      <protection hidden="1"/>
    </xf>
    <xf numFmtId="4" fontId="19" fillId="0" borderId="0" xfId="0" applyNumberFormat="1" applyFont="1" applyProtection="1">
      <protection hidden="1"/>
    </xf>
    <xf numFmtId="0" fontId="57" fillId="0" borderId="0" xfId="0" applyFont="1" applyProtection="1">
      <protection hidden="1"/>
    </xf>
    <xf numFmtId="0" fontId="106" fillId="0" borderId="0" xfId="0" applyFont="1" applyAlignment="1" applyProtection="1">
      <alignment horizontal="left" wrapText="1"/>
      <protection hidden="1"/>
    </xf>
    <xf numFmtId="0" fontId="106" fillId="0" borderId="0" xfId="0" applyFont="1" applyAlignment="1" applyProtection="1">
      <alignment wrapText="1"/>
      <protection hidden="1"/>
    </xf>
    <xf numFmtId="0" fontId="109" fillId="0" borderId="0" xfId="0" applyFont="1" applyProtection="1">
      <protection hidden="1"/>
    </xf>
    <xf numFmtId="0" fontId="30" fillId="0" borderId="0" xfId="90" applyFont="1" applyAlignment="1" applyProtection="1"/>
    <xf numFmtId="169" fontId="0" fillId="0" borderId="0" xfId="0" applyNumberFormat="1" applyProtection="1">
      <protection locked="0"/>
    </xf>
    <xf numFmtId="170" fontId="0" fillId="0" borderId="0" xfId="0" applyNumberFormat="1" applyProtection="1">
      <protection locked="0"/>
    </xf>
    <xf numFmtId="169" fontId="0" fillId="0" borderId="3" xfId="0" applyNumberFormat="1" applyBorder="1" applyProtection="1">
      <protection locked="0"/>
    </xf>
    <xf numFmtId="169" fontId="0" fillId="60" borderId="11" xfId="0" applyNumberFormat="1" applyFill="1" applyBorder="1"/>
    <xf numFmtId="169" fontId="155" fillId="60" borderId="11" xfId="0" applyNumberFormat="1" applyFont="1" applyFill="1" applyBorder="1"/>
    <xf numFmtId="170" fontId="0" fillId="60" borderId="10" xfId="0" applyNumberFormat="1" applyFill="1" applyBorder="1"/>
    <xf numFmtId="169" fontId="155" fillId="60" borderId="0" xfId="0" applyNumberFormat="1" applyFont="1" applyFill="1"/>
    <xf numFmtId="169" fontId="156" fillId="60" borderId="0" xfId="0" applyNumberFormat="1" applyFont="1" applyFill="1"/>
    <xf numFmtId="170" fontId="155" fillId="60" borderId="10" xfId="0" applyNumberFormat="1" applyFont="1" applyFill="1" applyBorder="1"/>
    <xf numFmtId="168" fontId="157" fillId="0" borderId="0" xfId="0" applyNumberFormat="1" applyFont="1"/>
    <xf numFmtId="169" fontId="157" fillId="0" borderId="0" xfId="0" applyNumberFormat="1" applyFont="1" applyProtection="1">
      <protection locked="0"/>
    </xf>
    <xf numFmtId="169" fontId="0" fillId="0" borderId="11" xfId="0" applyNumberFormat="1" applyBorder="1" applyProtection="1">
      <protection locked="0"/>
    </xf>
    <xf numFmtId="0" fontId="8" fillId="0" borderId="0" xfId="0" applyFont="1" applyAlignment="1">
      <alignment horizontal="left" indent="1"/>
    </xf>
    <xf numFmtId="0" fontId="67" fillId="0" borderId="0" xfId="0" applyFont="1" applyAlignment="1">
      <alignment horizontal="left" indent="1"/>
    </xf>
    <xf numFmtId="0" fontId="158" fillId="0" borderId="0" xfId="0" applyFont="1" applyAlignment="1">
      <alignment horizontal="center"/>
    </xf>
    <xf numFmtId="0" fontId="159" fillId="0" borderId="0" xfId="0" applyFont="1"/>
    <xf numFmtId="0" fontId="158" fillId="0" borderId="0" xfId="0" applyFont="1"/>
    <xf numFmtId="169" fontId="159" fillId="0" borderId="0" xfId="0" applyNumberFormat="1" applyFont="1" applyProtection="1">
      <protection locked="0"/>
    </xf>
    <xf numFmtId="0" fontId="160" fillId="0" borderId="0" xfId="0" applyFont="1"/>
    <xf numFmtId="169" fontId="156" fillId="0" borderId="0" xfId="0" applyNumberFormat="1" applyFont="1" applyProtection="1">
      <protection locked="0"/>
    </xf>
    <xf numFmtId="165" fontId="156" fillId="0" borderId="0" xfId="0" applyNumberFormat="1" applyFont="1"/>
    <xf numFmtId="169" fontId="156" fillId="0" borderId="3" xfId="0" applyNumberFormat="1" applyFont="1" applyBorder="1" applyProtection="1">
      <protection locked="0"/>
    </xf>
    <xf numFmtId="0" fontId="110" fillId="0" borderId="0" xfId="0" applyFont="1"/>
    <xf numFmtId="0" fontId="161" fillId="0" borderId="7" xfId="161" applyFont="1" applyBorder="1"/>
    <xf numFmtId="170" fontId="0" fillId="0" borderId="0" xfId="0" applyNumberFormat="1"/>
    <xf numFmtId="169" fontId="0" fillId="60" borderId="0" xfId="0" applyNumberFormat="1" applyFill="1"/>
    <xf numFmtId="0" fontId="41" fillId="0" borderId="0" xfId="155" applyFont="1" applyAlignment="1">
      <alignment horizontal="centerContinuous"/>
    </xf>
    <xf numFmtId="0" fontId="42" fillId="0" borderId="3" xfId="155" applyFont="1" applyBorder="1"/>
    <xf numFmtId="0" fontId="162" fillId="0" borderId="0" xfId="0" applyFont="1"/>
    <xf numFmtId="0" fontId="67" fillId="61" borderId="0" xfId="172" applyFont="1" applyFill="1" applyAlignment="1">
      <alignment horizontal="left"/>
    </xf>
    <xf numFmtId="0" fontId="5" fillId="61" borderId="0" xfId="172" applyFont="1" applyFill="1"/>
    <xf numFmtId="0" fontId="48" fillId="0" borderId="0" xfId="172" applyFont="1"/>
    <xf numFmtId="171" fontId="77" fillId="61" borderId="0" xfId="172" applyNumberFormat="1" applyFont="1" applyFill="1"/>
    <xf numFmtId="171" fontId="5" fillId="61" borderId="0" xfId="172" applyNumberFormat="1" applyFont="1" applyFill="1" applyProtection="1">
      <protection locked="0"/>
    </xf>
    <xf numFmtId="0" fontId="5" fillId="61" borderId="0" xfId="172" applyFont="1" applyFill="1" applyProtection="1">
      <protection locked="0"/>
    </xf>
    <xf numFmtId="0" fontId="3" fillId="61" borderId="0" xfId="172" applyFont="1" applyFill="1" applyAlignment="1">
      <alignment horizontal="center"/>
    </xf>
    <xf numFmtId="0" fontId="6" fillId="61" borderId="0" xfId="172" applyFont="1" applyFill="1" applyAlignment="1">
      <alignment horizontal="center"/>
    </xf>
    <xf numFmtId="0" fontId="6" fillId="61" borderId="0" xfId="172" applyFont="1" applyFill="1" applyAlignment="1" applyProtection="1">
      <alignment horizontal="center"/>
      <protection locked="0"/>
    </xf>
    <xf numFmtId="41" fontId="76" fillId="0" borderId="0" xfId="0" applyNumberFormat="1" applyFont="1"/>
    <xf numFmtId="169" fontId="5" fillId="0" borderId="0" xfId="0" applyNumberFormat="1" applyFont="1" applyProtection="1">
      <protection locked="0"/>
    </xf>
    <xf numFmtId="169" fontId="156" fillId="0" borderId="0" xfId="0" applyNumberFormat="1" applyFont="1"/>
    <xf numFmtId="41" fontId="156" fillId="0" borderId="0" xfId="0" applyNumberFormat="1" applyFont="1"/>
    <xf numFmtId="0" fontId="156" fillId="0" borderId="0" xfId="0" applyFont="1"/>
    <xf numFmtId="0" fontId="163" fillId="61" borderId="0" xfId="155" applyFont="1" applyFill="1"/>
    <xf numFmtId="0" fontId="114" fillId="61" borderId="0" xfId="155" applyFont="1" applyFill="1"/>
    <xf numFmtId="0" fontId="86" fillId="0" borderId="0" xfId="0" applyFont="1" applyAlignment="1">
      <alignment horizontal="center"/>
    </xf>
    <xf numFmtId="169" fontId="157" fillId="0" borderId="0" xfId="0" applyNumberFormat="1" applyFont="1"/>
    <xf numFmtId="0" fontId="10" fillId="0" borderId="0" xfId="0" applyFont="1" applyAlignment="1">
      <alignment horizontal="center" wrapText="1"/>
    </xf>
    <xf numFmtId="0" fontId="86" fillId="0" borderId="0" xfId="0" applyFont="1" applyAlignment="1">
      <alignment horizontal="left"/>
    </xf>
    <xf numFmtId="0" fontId="5" fillId="0" borderId="3" xfId="161" applyFont="1" applyBorder="1" applyAlignment="1">
      <alignment horizontal="center"/>
    </xf>
    <xf numFmtId="0" fontId="5" fillId="0" borderId="0" xfId="175" applyFont="1" applyAlignment="1">
      <alignment horizontal="center"/>
    </xf>
    <xf numFmtId="0" fontId="0" fillId="0" borderId="0" xfId="175" applyFont="1" applyAlignment="1">
      <alignment horizontal="center"/>
    </xf>
    <xf numFmtId="0" fontId="2" fillId="61" borderId="0" xfId="175" applyFont="1" applyFill="1" applyAlignment="1">
      <alignment horizontal="center" shrinkToFit="1"/>
    </xf>
    <xf numFmtId="0" fontId="0" fillId="0" borderId="0" xfId="161" applyFont="1" applyAlignment="1">
      <alignment horizontal="center"/>
    </xf>
    <xf numFmtId="172" fontId="5" fillId="0" borderId="0" xfId="162" applyNumberFormat="1" applyFont="1" applyAlignment="1">
      <alignment horizontal="center" shrinkToFit="1"/>
    </xf>
    <xf numFmtId="39" fontId="0" fillId="0" borderId="0" xfId="0" applyNumberFormat="1"/>
    <xf numFmtId="49" fontId="28" fillId="0" borderId="11" xfId="169" applyNumberFormat="1" applyFont="1" applyBorder="1" applyAlignment="1" applyProtection="1">
      <alignment horizontal="center"/>
      <protection locked="0"/>
    </xf>
    <xf numFmtId="0" fontId="58" fillId="62" borderId="0" xfId="0" applyFont="1" applyFill="1" applyProtection="1">
      <protection hidden="1"/>
    </xf>
    <xf numFmtId="0" fontId="19" fillId="62" borderId="0" xfId="0" applyFont="1" applyFill="1" applyProtection="1">
      <protection hidden="1"/>
    </xf>
    <xf numFmtId="169" fontId="155" fillId="60" borderId="3" xfId="0" applyNumberFormat="1" applyFont="1" applyFill="1" applyBorder="1"/>
    <xf numFmtId="167" fontId="8" fillId="0" borderId="0" xfId="0" applyNumberFormat="1" applyFont="1" applyAlignment="1">
      <alignment horizontal="left" indent="2"/>
    </xf>
    <xf numFmtId="0" fontId="3" fillId="0" borderId="0" xfId="171" applyFont="1" applyAlignment="1">
      <alignment horizontal="right" shrinkToFit="1"/>
    </xf>
    <xf numFmtId="0" fontId="115" fillId="0" borderId="17" xfId="0" applyFont="1" applyBorder="1" applyAlignment="1">
      <alignment horizontal="center" wrapText="1"/>
    </xf>
    <xf numFmtId="0" fontId="19" fillId="0" borderId="0" xfId="0" applyFont="1" applyAlignment="1" applyProtection="1">
      <alignment horizontal="left"/>
      <protection hidden="1"/>
    </xf>
    <xf numFmtId="0" fontId="164" fillId="0" borderId="0" xfId="0" applyFont="1" applyProtection="1">
      <protection hidden="1"/>
    </xf>
    <xf numFmtId="49" fontId="164" fillId="0" borderId="0" xfId="0" applyNumberFormat="1" applyFont="1" applyProtection="1">
      <protection hidden="1"/>
    </xf>
    <xf numFmtId="0" fontId="116" fillId="61" borderId="0" xfId="175" applyFont="1" applyFill="1" applyAlignment="1">
      <alignment horizontal="center" shrinkToFit="1"/>
    </xf>
    <xf numFmtId="0" fontId="118" fillId="0" borderId="0" xfId="0" applyFont="1"/>
    <xf numFmtId="0" fontId="3" fillId="0" borderId="0" xfId="160" applyFont="1" applyAlignment="1">
      <alignment horizontal="center"/>
    </xf>
    <xf numFmtId="0" fontId="20" fillId="0" borderId="0" xfId="160" applyFont="1" applyAlignment="1">
      <alignment horizontal="centerContinuous"/>
    </xf>
    <xf numFmtId="0" fontId="4" fillId="0" borderId="0" xfId="156" applyFont="1" applyProtection="1">
      <protection hidden="1"/>
    </xf>
    <xf numFmtId="0" fontId="57" fillId="61" borderId="0" xfId="0" applyFont="1" applyFill="1" applyAlignment="1">
      <alignment horizontal="left"/>
    </xf>
    <xf numFmtId="0" fontId="57" fillId="61" borderId="24" xfId="0" applyFont="1" applyFill="1" applyBorder="1" applyAlignment="1">
      <alignment horizontal="left"/>
    </xf>
    <xf numFmtId="0" fontId="57" fillId="61" borderId="7" xfId="0" applyFont="1" applyFill="1" applyBorder="1" applyAlignment="1">
      <alignment horizontal="left"/>
    </xf>
    <xf numFmtId="0" fontId="57" fillId="61" borderId="25" xfId="0" applyFont="1" applyFill="1" applyBorder="1" applyAlignment="1">
      <alignment horizontal="left"/>
    </xf>
    <xf numFmtId="0" fontId="57" fillId="61" borderId="26" xfId="0" applyFont="1" applyFill="1" applyBorder="1" applyAlignment="1">
      <alignment horizontal="left"/>
    </xf>
    <xf numFmtId="0" fontId="57" fillId="61" borderId="27" xfId="0" applyFont="1" applyFill="1" applyBorder="1" applyAlignment="1">
      <alignment horizontal="left"/>
    </xf>
    <xf numFmtId="0" fontId="57" fillId="61" borderId="28" xfId="0" applyFont="1" applyFill="1" applyBorder="1" applyAlignment="1">
      <alignment horizontal="left"/>
    </xf>
    <xf numFmtId="0" fontId="165" fillId="0" borderId="0" xfId="0" applyFont="1"/>
    <xf numFmtId="0" fontId="5" fillId="0" borderId="0" xfId="174" applyFont="1" applyProtection="1">
      <protection locked="0"/>
    </xf>
    <xf numFmtId="0" fontId="166" fillId="0" borderId="0" xfId="135" applyFont="1"/>
    <xf numFmtId="0" fontId="167" fillId="0" borderId="0" xfId="135" applyFont="1" applyAlignment="1" applyProtection="1">
      <alignment horizontal="center"/>
      <protection locked="0"/>
    </xf>
    <xf numFmtId="0" fontId="167" fillId="0" borderId="3" xfId="135" applyFont="1" applyBorder="1" applyAlignment="1" applyProtection="1">
      <alignment horizontal="center"/>
      <protection locked="0"/>
    </xf>
    <xf numFmtId="0" fontId="167" fillId="0" borderId="0" xfId="135" applyFont="1" applyAlignment="1">
      <alignment horizontal="center"/>
    </xf>
    <xf numFmtId="0" fontId="167" fillId="0" borderId="0" xfId="0" applyFont="1"/>
    <xf numFmtId="0" fontId="167" fillId="0" borderId="0" xfId="135" applyFont="1"/>
    <xf numFmtId="0" fontId="168" fillId="0" borderId="0" xfId="0" applyFont="1"/>
    <xf numFmtId="0" fontId="29" fillId="0" borderId="0" xfId="176"/>
    <xf numFmtId="172" fontId="3" fillId="0" borderId="0" xfId="165" applyNumberFormat="1" applyFont="1" applyAlignment="1">
      <alignment horizontal="centerContinuous"/>
    </xf>
    <xf numFmtId="0" fontId="5" fillId="0" borderId="0" xfId="165"/>
    <xf numFmtId="0" fontId="29" fillId="0" borderId="0" xfId="176" applyAlignment="1">
      <alignment horizontal="center"/>
    </xf>
    <xf numFmtId="0" fontId="5" fillId="0" borderId="0" xfId="176" applyFont="1"/>
    <xf numFmtId="172" fontId="3" fillId="0" borderId="0" xfId="165" applyNumberFormat="1" applyFont="1"/>
    <xf numFmtId="172" fontId="3" fillId="0" borderId="0" xfId="165" applyNumberFormat="1" applyFont="1" applyAlignment="1">
      <alignment horizontal="center"/>
    </xf>
    <xf numFmtId="172" fontId="5" fillId="0" borderId="0" xfId="165" applyNumberFormat="1" applyAlignment="1">
      <alignment horizontal="right"/>
    </xf>
    <xf numFmtId="172" fontId="5" fillId="0" borderId="0" xfId="165" applyNumberFormat="1"/>
    <xf numFmtId="172" fontId="5" fillId="0" borderId="3" xfId="165" applyNumberFormat="1" applyBorder="1" applyAlignment="1">
      <alignment horizontal="center"/>
    </xf>
    <xf numFmtId="172" fontId="3" fillId="0" borderId="7" xfId="165" applyNumberFormat="1" applyFont="1" applyBorder="1" applyAlignment="1">
      <alignment horizontal="center"/>
    </xf>
    <xf numFmtId="172" fontId="119" fillId="0" borderId="0" xfId="165" applyNumberFormat="1" applyFont="1" applyAlignment="1">
      <alignment horizontal="center"/>
    </xf>
    <xf numFmtId="0" fontId="5" fillId="0" borderId="0" xfId="0" applyFont="1" applyAlignment="1">
      <alignment vertical="center"/>
    </xf>
    <xf numFmtId="0" fontId="120" fillId="0" borderId="0" xfId="0" applyFont="1" applyAlignment="1">
      <alignment vertical="center"/>
    </xf>
    <xf numFmtId="0" fontId="121" fillId="0" borderId="0" xfId="0" applyFont="1" applyAlignment="1">
      <alignment vertical="center"/>
    </xf>
    <xf numFmtId="0" fontId="38" fillId="0" borderId="0" xfId="176" applyFont="1"/>
    <xf numFmtId="0" fontId="3" fillId="0" borderId="0" xfId="176" applyFont="1"/>
    <xf numFmtId="0" fontId="5" fillId="0" borderId="0" xfId="0" applyFont="1" applyAlignment="1">
      <alignment horizontal="left" vertical="center"/>
    </xf>
    <xf numFmtId="0" fontId="7" fillId="0" borderId="0" xfId="0" applyFont="1" applyAlignment="1">
      <alignment horizontal="left" vertical="center" indent="1"/>
    </xf>
    <xf numFmtId="0" fontId="122" fillId="0" borderId="0" xfId="0" applyFont="1" applyAlignment="1">
      <alignment horizontal="left" vertical="center" indent="4"/>
    </xf>
    <xf numFmtId="0" fontId="10" fillId="0" borderId="0" xfId="176" applyFont="1"/>
    <xf numFmtId="0" fontId="3" fillId="0" borderId="0" xfId="176" applyFont="1" applyAlignment="1">
      <alignment horizontal="center"/>
    </xf>
    <xf numFmtId="0" fontId="5" fillId="0" borderId="15" xfId="176" applyFont="1" applyBorder="1" applyAlignment="1" applyProtection="1">
      <alignment horizontal="center"/>
      <protection locked="0"/>
    </xf>
    <xf numFmtId="0" fontId="11" fillId="0" borderId="0" xfId="0" applyFont="1" applyAlignment="1">
      <alignment vertical="center"/>
    </xf>
    <xf numFmtId="0" fontId="8" fillId="0" borderId="0" xfId="158" applyFont="1"/>
    <xf numFmtId="0" fontId="32" fillId="0" borderId="0" xfId="176" applyFont="1"/>
    <xf numFmtId="0" fontId="28" fillId="0" borderId="0" xfId="176" applyFont="1"/>
    <xf numFmtId="172" fontId="7" fillId="0" borderId="0" xfId="162" applyNumberFormat="1" applyFont="1" applyAlignment="1">
      <alignment horizontal="center" shrinkToFit="1"/>
    </xf>
    <xf numFmtId="0" fontId="169" fillId="0" borderId="0" xfId="0" applyFont="1"/>
    <xf numFmtId="0" fontId="170" fillId="0" borderId="0" xfId="0" applyFont="1"/>
    <xf numFmtId="0" fontId="48" fillId="60" borderId="0" xfId="0" applyFont="1" applyFill="1" applyAlignment="1">
      <alignment horizontal="left"/>
    </xf>
    <xf numFmtId="0" fontId="12" fillId="60" borderId="0" xfId="0" applyFont="1" applyFill="1"/>
    <xf numFmtId="0" fontId="48" fillId="60" borderId="0" xfId="0" applyFont="1" applyFill="1"/>
    <xf numFmtId="0" fontId="12" fillId="60" borderId="0" xfId="0" applyFont="1" applyFill="1" applyAlignment="1">
      <alignment horizontal="center"/>
    </xf>
    <xf numFmtId="169" fontId="2" fillId="60" borderId="0" xfId="0" applyNumberFormat="1" applyFont="1" applyFill="1"/>
    <xf numFmtId="169" fontId="2" fillId="60" borderId="3" xfId="0" applyNumberFormat="1" applyFont="1" applyFill="1" applyBorder="1"/>
    <xf numFmtId="0" fontId="12" fillId="60" borderId="0" xfId="0" applyFont="1" applyFill="1" applyAlignment="1">
      <alignment horizontal="left" indent="2"/>
    </xf>
    <xf numFmtId="41" fontId="12" fillId="60" borderId="0" xfId="0" applyNumberFormat="1" applyFont="1" applyFill="1"/>
    <xf numFmtId="0" fontId="117" fillId="0" borderId="0" xfId="0" applyFont="1"/>
    <xf numFmtId="0" fontId="0" fillId="0" borderId="0" xfId="0" applyAlignment="1">
      <alignment horizontal="left"/>
    </xf>
    <xf numFmtId="0" fontId="54" fillId="0" borderId="0" xfId="0" applyFont="1"/>
    <xf numFmtId="0" fontId="59" fillId="0" borderId="0" xfId="0" applyFont="1" applyProtection="1">
      <protection hidden="1"/>
    </xf>
    <xf numFmtId="0" fontId="3" fillId="63" borderId="0" xfId="135" applyFont="1" applyFill="1"/>
    <xf numFmtId="0" fontId="19" fillId="0" borderId="0" xfId="0" applyFont="1" applyAlignment="1">
      <alignment horizontal="justify" vertical="center"/>
    </xf>
    <xf numFmtId="0" fontId="47" fillId="0" borderId="0" xfId="0" applyFont="1"/>
    <xf numFmtId="172" fontId="3" fillId="0" borderId="0" xfId="165" applyNumberFormat="1" applyFont="1" applyAlignment="1">
      <alignment horizontal="left"/>
    </xf>
    <xf numFmtId="0" fontId="58" fillId="0" borderId="0" xfId="0" applyFont="1" applyAlignment="1" applyProtection="1">
      <alignment wrapText="1"/>
      <protection hidden="1"/>
    </xf>
    <xf numFmtId="0" fontId="58" fillId="0" borderId="0" xfId="0" applyFont="1" applyAlignment="1" applyProtection="1">
      <alignment horizontal="center" wrapText="1"/>
      <protection hidden="1"/>
    </xf>
    <xf numFmtId="0" fontId="106" fillId="0" borderId="0" xfId="0" applyFont="1" applyProtection="1">
      <protection hidden="1"/>
    </xf>
    <xf numFmtId="0" fontId="123" fillId="0" borderId="0" xfId="0" applyFont="1" applyProtection="1">
      <protection hidden="1"/>
    </xf>
    <xf numFmtId="0" fontId="75" fillId="0" borderId="0" xfId="0" applyFont="1" applyProtection="1">
      <protection hidden="1"/>
    </xf>
    <xf numFmtId="0" fontId="2" fillId="0" borderId="0" xfId="159" applyFont="1" applyAlignment="1">
      <alignment horizontal="right"/>
    </xf>
    <xf numFmtId="0" fontId="2" fillId="0" borderId="0" xfId="159" applyFont="1" applyAlignment="1">
      <alignment horizontal="center" shrinkToFit="1"/>
    </xf>
    <xf numFmtId="0" fontId="3" fillId="0" borderId="17" xfId="179" applyFont="1" applyBorder="1" applyProtection="1">
      <protection locked="0"/>
    </xf>
    <xf numFmtId="0" fontId="2" fillId="0" borderId="11" xfId="0" applyFont="1" applyBorder="1"/>
    <xf numFmtId="0" fontId="2" fillId="0" borderId="11" xfId="159" applyFont="1" applyBorder="1" applyAlignment="1">
      <alignment horizontal="right"/>
    </xf>
    <xf numFmtId="0" fontId="2" fillId="0" borderId="11" xfId="159" applyFont="1" applyBorder="1" applyAlignment="1">
      <alignment horizontal="center" shrinkToFit="1"/>
    </xf>
    <xf numFmtId="0" fontId="2" fillId="0" borderId="18" xfId="159" applyFont="1" applyBorder="1" applyAlignment="1">
      <alignment horizontal="center" shrinkToFit="1"/>
    </xf>
    <xf numFmtId="172" fontId="7" fillId="0" borderId="0" xfId="163" applyNumberFormat="1" applyFont="1" applyAlignment="1">
      <alignment horizontal="center" shrinkToFit="1"/>
    </xf>
    <xf numFmtId="0" fontId="5" fillId="0" borderId="0" xfId="176" quotePrefix="1" applyFont="1" applyAlignment="1">
      <alignment vertical="center"/>
    </xf>
    <xf numFmtId="0" fontId="3" fillId="0" borderId="0" xfId="0" applyFont="1" applyAlignment="1">
      <alignment horizontal="right" vertical="center"/>
    </xf>
    <xf numFmtId="0" fontId="5" fillId="0" borderId="0" xfId="0" applyFont="1" applyAlignment="1">
      <alignment horizontal="left" vertical="center" indent="1"/>
    </xf>
    <xf numFmtId="0" fontId="8" fillId="0" borderId="0" xfId="0" applyFont="1" applyAlignment="1">
      <alignment vertical="center"/>
    </xf>
    <xf numFmtId="0" fontId="5" fillId="0" borderId="0" xfId="0" applyFont="1"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0" fontId="5" fillId="0" borderId="0" xfId="176" quotePrefix="1" applyFont="1" applyAlignment="1">
      <alignment vertical="top"/>
    </xf>
    <xf numFmtId="0" fontId="0" fillId="0" borderId="0" xfId="0" applyAlignment="1">
      <alignment vertical="top" wrapText="1"/>
    </xf>
    <xf numFmtId="0" fontId="5" fillId="0" borderId="0" xfId="0" applyFont="1" applyAlignment="1">
      <alignment vertical="top"/>
    </xf>
    <xf numFmtId="0" fontId="8" fillId="0" borderId="0" xfId="0" applyFont="1" applyAlignment="1">
      <alignment vertical="top"/>
    </xf>
    <xf numFmtId="172" fontId="31" fillId="0" borderId="0" xfId="176" applyNumberFormat="1" applyFont="1"/>
    <xf numFmtId="0" fontId="3" fillId="0" borderId="0" xfId="0" applyFont="1" applyAlignment="1">
      <alignment horizontal="left" vertical="center"/>
    </xf>
    <xf numFmtId="0" fontId="171" fillId="0" borderId="0" xfId="0" applyFont="1" applyAlignment="1">
      <alignment horizontal="left" vertical="center"/>
    </xf>
    <xf numFmtId="0" fontId="172" fillId="0" borderId="0" xfId="0" applyFont="1" applyAlignment="1">
      <alignment horizontal="left" vertical="center"/>
    </xf>
    <xf numFmtId="0" fontId="172" fillId="0" borderId="0" xfId="0" applyFont="1" applyAlignment="1">
      <alignment vertical="top"/>
    </xf>
    <xf numFmtId="0" fontId="172" fillId="0" borderId="0" xfId="0" applyFont="1" applyAlignment="1">
      <alignment vertical="top" wrapText="1"/>
    </xf>
    <xf numFmtId="0" fontId="171" fillId="0" borderId="0" xfId="0" applyFont="1" applyAlignment="1">
      <alignment horizontal="left" vertical="top" wrapText="1"/>
    </xf>
    <xf numFmtId="0" fontId="171" fillId="0" borderId="0" xfId="0" applyFont="1" applyAlignment="1">
      <alignment vertical="top"/>
    </xf>
    <xf numFmtId="0" fontId="165" fillId="0" borderId="0" xfId="0" applyFont="1" applyAlignment="1">
      <alignment vertical="top"/>
    </xf>
    <xf numFmtId="0" fontId="167" fillId="0" borderId="0" xfId="0" applyFont="1" applyAlignment="1">
      <alignment horizontal="center" vertical="top"/>
    </xf>
    <xf numFmtId="0" fontId="171" fillId="0" borderId="0" xfId="0" applyFont="1" applyAlignment="1">
      <alignment horizontal="center" vertical="top"/>
    </xf>
    <xf numFmtId="172" fontId="29" fillId="0" borderId="0" xfId="176" applyNumberFormat="1"/>
    <xf numFmtId="0" fontId="32" fillId="0" borderId="0" xfId="165" applyFont="1"/>
    <xf numFmtId="0" fontId="59" fillId="0" borderId="15" xfId="90" applyFont="1" applyBorder="1" applyAlignment="1" applyProtection="1">
      <alignment vertical="center" wrapText="1"/>
    </xf>
    <xf numFmtId="0" fontId="8" fillId="0" borderId="3" xfId="172" applyFont="1" applyBorder="1" applyProtection="1">
      <protection locked="0"/>
    </xf>
    <xf numFmtId="39" fontId="127" fillId="0" borderId="0" xfId="133" applyNumberFormat="1"/>
    <xf numFmtId="39" fontId="127" fillId="0" borderId="0" xfId="134" applyNumberFormat="1"/>
    <xf numFmtId="180" fontId="0" fillId="0" borderId="0" xfId="0" applyNumberFormat="1"/>
    <xf numFmtId="0" fontId="3" fillId="63" borderId="0" xfId="0" applyFont="1" applyFill="1"/>
    <xf numFmtId="0" fontId="29" fillId="0" borderId="7" xfId="176" applyBorder="1"/>
    <xf numFmtId="0" fontId="173" fillId="0" borderId="0" xfId="0" applyFont="1" applyAlignment="1">
      <alignment vertical="top"/>
    </xf>
    <xf numFmtId="0" fontId="81" fillId="0" borderId="0" xfId="161" applyFont="1"/>
    <xf numFmtId="0" fontId="5" fillId="0" borderId="14" xfId="161" applyFont="1" applyBorder="1"/>
    <xf numFmtId="0" fontId="5" fillId="0" borderId="0" xfId="176" applyFont="1" applyAlignment="1">
      <alignment horizontal="left" indent="1"/>
    </xf>
    <xf numFmtId="49" fontId="28" fillId="0" borderId="3" xfId="169" applyNumberFormat="1" applyFont="1" applyBorder="1" applyAlignment="1" applyProtection="1">
      <alignment horizontal="center"/>
      <protection locked="0"/>
    </xf>
    <xf numFmtId="0" fontId="4" fillId="0" borderId="14" xfId="158" applyFont="1" applyBorder="1" applyAlignment="1" applyProtection="1">
      <alignment horizontal="center"/>
      <protection locked="0"/>
    </xf>
    <xf numFmtId="0" fontId="4" fillId="0" borderId="0" xfId="158" applyFont="1" applyAlignment="1" applyProtection="1">
      <alignment horizontal="center"/>
      <protection locked="0"/>
    </xf>
    <xf numFmtId="0" fontId="4" fillId="0" borderId="0" xfId="158" applyFont="1" applyProtection="1">
      <protection locked="0"/>
    </xf>
    <xf numFmtId="0" fontId="4" fillId="0" borderId="0" xfId="158" applyFont="1" applyAlignment="1" applyProtection="1">
      <alignment horizontal="left" indent="1"/>
      <protection locked="0"/>
    </xf>
    <xf numFmtId="0" fontId="19" fillId="0" borderId="0" xfId="0" applyFont="1" applyAlignment="1" applyProtection="1">
      <alignment wrapText="1"/>
      <protection hidden="1"/>
    </xf>
    <xf numFmtId="0" fontId="173" fillId="0" borderId="0" xfId="0" applyFont="1"/>
    <xf numFmtId="0" fontId="174" fillId="0" borderId="0" xfId="0" applyFont="1"/>
    <xf numFmtId="181" fontId="42" fillId="0" borderId="0" xfId="155" applyNumberFormat="1" applyFont="1" applyAlignment="1">
      <alignment horizontal="centerContinuous"/>
    </xf>
    <xf numFmtId="0" fontId="57" fillId="26" borderId="0" xfId="0" applyFont="1" applyFill="1" applyAlignment="1" applyProtection="1">
      <alignment horizontal="center"/>
      <protection hidden="1"/>
    </xf>
    <xf numFmtId="0" fontId="30" fillId="26" borderId="0" xfId="90" applyFont="1" applyFill="1" applyAlignment="1" applyProtection="1">
      <alignment horizontal="center"/>
      <protection hidden="1"/>
    </xf>
    <xf numFmtId="0" fontId="58" fillId="26" borderId="0" xfId="0" applyFont="1" applyFill="1" applyAlignment="1" applyProtection="1">
      <alignment horizontal="center" wrapText="1"/>
      <protection hidden="1"/>
    </xf>
    <xf numFmtId="0" fontId="58" fillId="26" borderId="0" xfId="0" applyFont="1" applyFill="1" applyAlignment="1" applyProtection="1">
      <alignment horizontal="center"/>
      <protection hidden="1"/>
    </xf>
    <xf numFmtId="0" fontId="133" fillId="0" borderId="0" xfId="0" applyFont="1" applyProtection="1">
      <protection hidden="1"/>
    </xf>
    <xf numFmtId="0" fontId="48" fillId="63" borderId="0" xfId="0" applyFont="1" applyFill="1"/>
    <xf numFmtId="0" fontId="158" fillId="0" borderId="0" xfId="0" quotePrefix="1" applyFont="1" applyAlignment="1">
      <alignment horizontal="center"/>
    </xf>
    <xf numFmtId="49" fontId="19" fillId="71" borderId="0" xfId="0" applyNumberFormat="1" applyFont="1" applyFill="1" applyAlignment="1" applyProtection="1">
      <alignment horizontal="center"/>
      <protection hidden="1"/>
    </xf>
    <xf numFmtId="0" fontId="19" fillId="71" borderId="0" xfId="0" applyFont="1" applyFill="1" applyProtection="1">
      <protection hidden="1"/>
    </xf>
    <xf numFmtId="0" fontId="0" fillId="71" borderId="0" xfId="0" applyFill="1"/>
    <xf numFmtId="0" fontId="75" fillId="71" borderId="0" xfId="0" applyFont="1" applyFill="1" applyProtection="1">
      <protection hidden="1"/>
    </xf>
    <xf numFmtId="0" fontId="0" fillId="71" borderId="7" xfId="0" applyFill="1" applyBorder="1"/>
    <xf numFmtId="49" fontId="19" fillId="71" borderId="7" xfId="0" applyNumberFormat="1" applyFont="1" applyFill="1" applyBorder="1" applyAlignment="1" applyProtection="1">
      <alignment horizontal="center"/>
      <protection hidden="1"/>
    </xf>
    <xf numFmtId="0" fontId="19" fillId="71" borderId="7" xfId="0" applyFont="1" applyFill="1" applyBorder="1" applyProtection="1">
      <protection hidden="1"/>
    </xf>
    <xf numFmtId="49" fontId="19" fillId="72" borderId="0" xfId="145" applyNumberFormat="1" applyFont="1" applyFill="1" applyAlignment="1" applyProtection="1">
      <alignment horizontal="center"/>
      <protection hidden="1"/>
    </xf>
    <xf numFmtId="165" fontId="75" fillId="72" borderId="0" xfId="145" applyFont="1" applyFill="1" applyProtection="1">
      <protection hidden="1"/>
    </xf>
    <xf numFmtId="165" fontId="19" fillId="72" borderId="0" xfId="145" applyFont="1" applyFill="1" applyProtection="1">
      <protection hidden="1"/>
    </xf>
    <xf numFmtId="0" fontId="0" fillId="72" borderId="0" xfId="0" applyFill="1"/>
    <xf numFmtId="49" fontId="19" fillId="72" borderId="0" xfId="208" applyNumberFormat="1" applyFont="1" applyFill="1" applyAlignment="1" applyProtection="1">
      <alignment horizontal="center"/>
      <protection hidden="1"/>
    </xf>
    <xf numFmtId="165" fontId="19" fillId="72" borderId="0" xfId="208" applyFont="1" applyFill="1" applyProtection="1">
      <protection hidden="1"/>
    </xf>
    <xf numFmtId="0" fontId="3" fillId="0" borderId="0" xfId="0" quotePrefix="1" applyFont="1"/>
    <xf numFmtId="0" fontId="57" fillId="61" borderId="30" xfId="0" applyFont="1" applyFill="1" applyBorder="1" applyAlignment="1">
      <alignment horizontal="left"/>
    </xf>
    <xf numFmtId="0" fontId="57" fillId="61" borderId="31" xfId="0" applyFont="1" applyFill="1" applyBorder="1" applyAlignment="1">
      <alignment horizontal="left"/>
    </xf>
    <xf numFmtId="0" fontId="57" fillId="61" borderId="44" xfId="0" applyFont="1" applyFill="1" applyBorder="1" applyAlignment="1">
      <alignment horizontal="left"/>
    </xf>
    <xf numFmtId="0" fontId="5" fillId="0" borderId="0" xfId="0" applyFont="1" applyProtection="1">
      <protection locked="0"/>
    </xf>
    <xf numFmtId="0" fontId="3" fillId="0" borderId="0" xfId="0" applyFont="1" applyProtection="1">
      <protection locked="0"/>
    </xf>
    <xf numFmtId="167" fontId="8" fillId="0" borderId="0" xfId="0" applyNumberFormat="1" applyFont="1" applyAlignment="1">
      <alignment horizontal="left" indent="1"/>
    </xf>
    <xf numFmtId="0" fontId="8" fillId="0" borderId="0" xfId="0" quotePrefix="1" applyFont="1" applyAlignment="1">
      <alignment horizontal="center"/>
    </xf>
    <xf numFmtId="0" fontId="186" fillId="0" borderId="0" xfId="0" applyFont="1"/>
    <xf numFmtId="0" fontId="5" fillId="0" borderId="0" xfId="171" applyFont="1" applyProtection="1">
      <protection locked="0"/>
    </xf>
    <xf numFmtId="0" fontId="188" fillId="63" borderId="0" xfId="161" applyFont="1" applyFill="1" applyAlignment="1">
      <alignment horizontal="centerContinuous"/>
    </xf>
    <xf numFmtId="0" fontId="28" fillId="63" borderId="0" xfId="161" applyFill="1"/>
    <xf numFmtId="0" fontId="188" fillId="63" borderId="0" xfId="161" applyFont="1" applyFill="1"/>
    <xf numFmtId="0" fontId="15" fillId="63" borderId="0" xfId="161" applyFont="1" applyFill="1" applyAlignment="1">
      <alignment horizontal="center"/>
    </xf>
    <xf numFmtId="0" fontId="2" fillId="63" borderId="0" xfId="161" applyFont="1" applyFill="1" applyAlignment="1">
      <alignment horizontal="left"/>
    </xf>
    <xf numFmtId="0" fontId="2" fillId="63" borderId="0" xfId="161" applyFont="1" applyFill="1" applyAlignment="1">
      <alignment horizontal="center"/>
    </xf>
    <xf numFmtId="0" fontId="2" fillId="63" borderId="0" xfId="161" applyFont="1" applyFill="1" applyAlignment="1">
      <alignment horizontal="right"/>
    </xf>
    <xf numFmtId="0" fontId="29" fillId="63" borderId="0" xfId="176" applyFill="1" applyAlignment="1">
      <alignment horizontal="center" shrinkToFit="1"/>
    </xf>
    <xf numFmtId="0" fontId="29" fillId="63" borderId="0" xfId="176" applyFill="1"/>
    <xf numFmtId="0" fontId="8" fillId="63" borderId="0" xfId="161" applyFont="1" applyFill="1" applyAlignment="1">
      <alignment horizontal="centerContinuous"/>
    </xf>
    <xf numFmtId="0" fontId="8" fillId="63" borderId="0" xfId="161" applyFont="1" applyFill="1"/>
    <xf numFmtId="0" fontId="2" fillId="63" borderId="0" xfId="161" applyFont="1" applyFill="1"/>
    <xf numFmtId="0" fontId="8" fillId="63" borderId="7" xfId="161" applyFont="1" applyFill="1" applyBorder="1"/>
    <xf numFmtId="0" fontId="2" fillId="63" borderId="7" xfId="161" applyFont="1" applyFill="1" applyBorder="1" applyAlignment="1">
      <alignment horizontal="right"/>
    </xf>
    <xf numFmtId="0" fontId="8" fillId="63" borderId="7" xfId="161" applyFont="1" applyFill="1" applyBorder="1" applyAlignment="1">
      <alignment horizontal="center" shrinkToFit="1"/>
    </xf>
    <xf numFmtId="0" fontId="167" fillId="63" borderId="0" xfId="0" applyFont="1" applyFill="1" applyProtection="1">
      <protection locked="0"/>
    </xf>
    <xf numFmtId="0" fontId="0" fillId="63" borderId="0" xfId="0" applyFill="1" applyProtection="1">
      <protection locked="0"/>
    </xf>
    <xf numFmtId="0" fontId="166" fillId="63" borderId="0" xfId="0" applyFont="1" applyFill="1" applyProtection="1">
      <protection locked="0"/>
    </xf>
    <xf numFmtId="39" fontId="167" fillId="63" borderId="3" xfId="0" applyNumberFormat="1" applyFont="1" applyFill="1" applyBorder="1" applyProtection="1">
      <protection locked="0"/>
    </xf>
    <xf numFmtId="0" fontId="188" fillId="63" borderId="0" xfId="161" applyFont="1" applyFill="1" applyAlignment="1">
      <alignment horizontal="center"/>
    </xf>
    <xf numFmtId="0" fontId="187" fillId="63" borderId="0" xfId="176" applyFont="1" applyFill="1" applyAlignment="1">
      <alignment vertical="center"/>
    </xf>
    <xf numFmtId="0" fontId="10" fillId="0" borderId="0" xfId="172" applyFont="1"/>
    <xf numFmtId="0" fontId="8" fillId="63" borderId="0" xfId="161" applyFont="1" applyFill="1" applyAlignment="1">
      <alignment horizontal="center"/>
    </xf>
    <xf numFmtId="0" fontId="59" fillId="0" borderId="15" xfId="90" quotePrefix="1" applyFont="1" applyBorder="1" applyAlignment="1" applyProtection="1">
      <alignment horizontal="center"/>
    </xf>
    <xf numFmtId="0" fontId="2" fillId="0" borderId="0" xfId="156" applyFont="1" applyProtection="1">
      <protection hidden="1"/>
    </xf>
    <xf numFmtId="179" fontId="173" fillId="0" borderId="0" xfId="0" applyNumberFormat="1" applyFont="1" applyProtection="1">
      <protection locked="0"/>
    </xf>
    <xf numFmtId="0" fontId="19" fillId="0" borderId="0" xfId="0" applyFont="1" applyAlignment="1" applyProtection="1">
      <alignment horizontal="left" indent="2"/>
      <protection hidden="1"/>
    </xf>
    <xf numFmtId="0" fontId="19" fillId="0" borderId="0" xfId="0" quotePrefix="1" applyFont="1" applyAlignment="1" applyProtection="1">
      <alignment horizontal="center"/>
      <protection hidden="1"/>
    </xf>
    <xf numFmtId="172" fontId="3" fillId="0" borderId="0" xfId="164" applyNumberFormat="1" applyFont="1" applyAlignment="1">
      <alignment horizontal="centerContinuous"/>
    </xf>
    <xf numFmtId="0" fontId="2" fillId="0" borderId="0" xfId="164"/>
    <xf numFmtId="0" fontId="2" fillId="0" borderId="0" xfId="176" applyFont="1"/>
    <xf numFmtId="172" fontId="3" fillId="0" borderId="0" xfId="164" applyNumberFormat="1" applyFont="1"/>
    <xf numFmtId="172" fontId="3" fillId="0" borderId="0" xfId="164" applyNumberFormat="1" applyFont="1" applyAlignment="1">
      <alignment horizontal="center"/>
    </xf>
    <xf numFmtId="172" fontId="2" fillId="0" borderId="0" xfId="164" applyNumberFormat="1" applyAlignment="1">
      <alignment horizontal="right"/>
    </xf>
    <xf numFmtId="172" fontId="2" fillId="0" borderId="3" xfId="164" applyNumberFormat="1" applyBorder="1" applyAlignment="1">
      <alignment horizontal="center"/>
    </xf>
    <xf numFmtId="172" fontId="3" fillId="0" borderId="7" xfId="164" applyNumberFormat="1" applyFont="1" applyBorder="1" applyAlignment="1">
      <alignment horizontal="center"/>
    </xf>
    <xf numFmtId="172" fontId="119" fillId="0" borderId="0" xfId="164" applyNumberFormat="1" applyFont="1" applyAlignment="1">
      <alignment horizontal="center"/>
    </xf>
    <xf numFmtId="0" fontId="2" fillId="0" borderId="15" xfId="176" applyFont="1" applyBorder="1" applyAlignment="1" applyProtection="1">
      <alignment horizontal="center"/>
      <protection locked="0"/>
    </xf>
    <xf numFmtId="0" fontId="2" fillId="0" borderId="0" xfId="176" applyFont="1" applyAlignment="1" applyProtection="1">
      <alignment horizontal="center"/>
      <protection locked="0"/>
    </xf>
    <xf numFmtId="0" fontId="119" fillId="0" borderId="0" xfId="176" applyFont="1"/>
    <xf numFmtId="0" fontId="189" fillId="0" borderId="0" xfId="176" applyFont="1"/>
    <xf numFmtId="0" fontId="190" fillId="0" borderId="0" xfId="176" applyFont="1"/>
    <xf numFmtId="0" fontId="11" fillId="0" borderId="0" xfId="176" applyFont="1"/>
    <xf numFmtId="0" fontId="2" fillId="0" borderId="0" xfId="176" applyFont="1" applyAlignment="1">
      <alignment horizontal="center"/>
    </xf>
    <xf numFmtId="0" fontId="2" fillId="0" borderId="0" xfId="158" applyFont="1"/>
    <xf numFmtId="0" fontId="10" fillId="0" borderId="0" xfId="160" applyFont="1" applyAlignment="1">
      <alignment horizontal="center"/>
    </xf>
    <xf numFmtId="0" fontId="6" fillId="0" borderId="19" xfId="160" applyFont="1" applyBorder="1" applyAlignment="1">
      <alignment horizontal="center"/>
    </xf>
    <xf numFmtId="0" fontId="2" fillId="0" borderId="22" xfId="160" applyFont="1" applyBorder="1" applyAlignment="1" applyProtection="1">
      <alignment horizontal="center"/>
      <protection locked="0"/>
    </xf>
    <xf numFmtId="0" fontId="11" fillId="0" borderId="0" xfId="135" applyFont="1"/>
    <xf numFmtId="0" fontId="3" fillId="0" borderId="0" xfId="135" applyFont="1"/>
    <xf numFmtId="0" fontId="2" fillId="0" borderId="0" xfId="135" applyFont="1"/>
    <xf numFmtId="173" fontId="2" fillId="74" borderId="19" xfId="160" applyNumberFormat="1" applyFont="1" applyFill="1" applyBorder="1"/>
    <xf numFmtId="173" fontId="2" fillId="0" borderId="22" xfId="160" applyNumberFormat="1" applyFont="1" applyBorder="1" applyProtection="1">
      <protection locked="0"/>
    </xf>
    <xf numFmtId="173" fontId="2" fillId="74" borderId="15" xfId="135" applyNumberFormat="1" applyFont="1" applyFill="1" applyBorder="1"/>
    <xf numFmtId="173" fontId="2" fillId="0" borderId="21" xfId="135" applyNumberFormat="1" applyFont="1" applyBorder="1" applyProtection="1">
      <protection locked="0"/>
    </xf>
    <xf numFmtId="0" fontId="5" fillId="0" borderId="0" xfId="135"/>
    <xf numFmtId="0" fontId="5" fillId="0" borderId="32" xfId="135" applyBorder="1"/>
    <xf numFmtId="173" fontId="2" fillId="0" borderId="45" xfId="135" applyNumberFormat="1" applyFont="1" applyBorder="1"/>
    <xf numFmtId="0" fontId="3" fillId="0" borderId="0" xfId="160" applyFont="1" applyAlignment="1">
      <alignment horizontal="left"/>
    </xf>
    <xf numFmtId="182" fontId="2" fillId="0" borderId="46" xfId="135" applyNumberFormat="1" applyFont="1" applyBorder="1"/>
    <xf numFmtId="0" fontId="10" fillId="0" borderId="0" xfId="160" applyFont="1"/>
    <xf numFmtId="0" fontId="2" fillId="0" borderId="0" xfId="160" applyFont="1" applyAlignment="1">
      <alignment horizontal="left"/>
    </xf>
    <xf numFmtId="0" fontId="2" fillId="0" borderId="0" xfId="160" applyFont="1" applyAlignment="1">
      <alignment horizontal="right"/>
    </xf>
    <xf numFmtId="0" fontId="2" fillId="0" borderId="0" xfId="160" applyFont="1"/>
    <xf numFmtId="0" fontId="2" fillId="0" borderId="0" xfId="160" applyFont="1" applyAlignment="1">
      <alignment horizontal="center" shrinkToFit="1"/>
    </xf>
    <xf numFmtId="0" fontId="3" fillId="0" borderId="0" xfId="0" applyFont="1" applyAlignment="1">
      <alignment horizontal="left"/>
    </xf>
    <xf numFmtId="0" fontId="38" fillId="0" borderId="3" xfId="176" applyFont="1" applyBorder="1" applyAlignment="1" applyProtection="1">
      <alignment horizontal="center"/>
      <protection locked="0"/>
    </xf>
    <xf numFmtId="0" fontId="38" fillId="0" borderId="11" xfId="176" applyFont="1" applyBorder="1" applyAlignment="1" applyProtection="1">
      <alignment horizontal="center"/>
      <protection locked="0"/>
    </xf>
    <xf numFmtId="173" fontId="5" fillId="0" borderId="0" xfId="171" applyNumberFormat="1" applyFont="1" applyProtection="1">
      <protection locked="0"/>
    </xf>
    <xf numFmtId="182" fontId="2" fillId="0" borderId="3" xfId="135" applyNumberFormat="1" applyFont="1" applyBorder="1" applyProtection="1">
      <protection locked="0"/>
    </xf>
    <xf numFmtId="0" fontId="171" fillId="0" borderId="0" xfId="0" applyFont="1" applyAlignment="1">
      <alignment horizontal="left" vertical="center" wrapText="1"/>
    </xf>
    <xf numFmtId="0" fontId="29" fillId="0" borderId="0" xfId="176" applyAlignment="1">
      <alignment wrapText="1"/>
    </xf>
    <xf numFmtId="167" fontId="8" fillId="0" borderId="0" xfId="0" applyNumberFormat="1" applyFont="1"/>
    <xf numFmtId="167" fontId="12" fillId="0" borderId="0" xfId="0" applyNumberFormat="1" applyFont="1"/>
    <xf numFmtId="0" fontId="0" fillId="0" borderId="0" xfId="0"/>
    <xf numFmtId="0" fontId="0" fillId="0" borderId="0" xfId="0"/>
    <xf numFmtId="0" fontId="5" fillId="0" borderId="0" xfId="0" applyFont="1"/>
    <xf numFmtId="0" fontId="2" fillId="0" borderId="0" xfId="0" applyFont="1"/>
    <xf numFmtId="0" fontId="2" fillId="0" borderId="0" xfId="0" applyFont="1" applyAlignment="1">
      <alignment horizontal="left" indent="2"/>
    </xf>
    <xf numFmtId="49" fontId="0" fillId="0" borderId="0" xfId="0" applyNumberFormat="1" applyAlignment="1" applyProtection="1">
      <alignment horizontal="left" wrapText="1"/>
    </xf>
    <xf numFmtId="0" fontId="19" fillId="0" borderId="0" xfId="180" applyFont="1" applyProtection="1"/>
    <xf numFmtId="0" fontId="134" fillId="0" borderId="0" xfId="0" applyFont="1" applyProtection="1"/>
    <xf numFmtId="0" fontId="134" fillId="0" borderId="0" xfId="0" applyFont="1" applyAlignment="1" applyProtection="1">
      <alignment horizontal="left"/>
    </xf>
    <xf numFmtId="0" fontId="0" fillId="0" borderId="0" xfId="0" applyProtection="1"/>
    <xf numFmtId="0" fontId="119" fillId="0" borderId="7" xfId="0" applyFont="1" applyBorder="1" applyAlignment="1" applyProtection="1">
      <alignment horizontal="center" wrapText="1"/>
    </xf>
    <xf numFmtId="0" fontId="119" fillId="0" borderId="7" xfId="0" applyFont="1" applyBorder="1" applyAlignment="1" applyProtection="1">
      <alignment horizontal="center"/>
    </xf>
    <xf numFmtId="14" fontId="134" fillId="0" borderId="0" xfId="0" applyNumberFormat="1" applyFont="1" applyAlignment="1" applyProtection="1">
      <alignment horizontal="center"/>
    </xf>
    <xf numFmtId="0" fontId="134" fillId="0" borderId="0" xfId="0" applyFont="1" applyAlignment="1" applyProtection="1">
      <alignment horizontal="center" wrapText="1"/>
    </xf>
    <xf numFmtId="0" fontId="0" fillId="0" borderId="0" xfId="0" applyAlignment="1" applyProtection="1">
      <alignment horizontal="center"/>
    </xf>
    <xf numFmtId="14" fontId="0" fillId="0" borderId="0" xfId="0" applyNumberFormat="1" applyAlignment="1" applyProtection="1">
      <alignment horizontal="center"/>
    </xf>
    <xf numFmtId="0" fontId="134" fillId="0" borderId="0" xfId="0" applyFont="1" applyAlignment="1" applyProtection="1">
      <alignment horizontal="center"/>
    </xf>
    <xf numFmtId="49" fontId="2" fillId="0" borderId="0" xfId="0" applyNumberFormat="1" applyFont="1" applyAlignment="1" applyProtection="1">
      <alignment horizontal="left" wrapText="1"/>
    </xf>
    <xf numFmtId="0" fontId="2" fillId="0" borderId="0" xfId="0" applyFont="1" applyAlignment="1" applyProtection="1">
      <alignment horizontal="center" wrapText="1"/>
    </xf>
    <xf numFmtId="0" fontId="2" fillId="0" borderId="0" xfId="0" applyFont="1" applyAlignment="1" applyProtection="1">
      <alignment horizontal="center"/>
    </xf>
    <xf numFmtId="14" fontId="2" fillId="0" borderId="0" xfId="0" applyNumberFormat="1" applyFont="1" applyAlignment="1" applyProtection="1">
      <alignment horizontal="center" wrapText="1"/>
    </xf>
    <xf numFmtId="0" fontId="59" fillId="0" borderId="0" xfId="90" applyFont="1" applyFill="1" applyAlignment="1" applyProtection="1">
      <alignment horizontal="center"/>
    </xf>
    <xf numFmtId="0" fontId="3" fillId="0" borderId="0" xfId="176" applyFont="1"/>
    <xf numFmtId="0" fontId="2" fillId="0" borderId="0" xfId="0" applyFont="1" applyAlignment="1">
      <alignment vertical="center"/>
    </xf>
    <xf numFmtId="49" fontId="2" fillId="0" borderId="11" xfId="176" applyNumberFormat="1" applyFont="1" applyBorder="1" applyAlignment="1" applyProtection="1">
      <alignment horizontal="center"/>
      <protection locked="0"/>
    </xf>
    <xf numFmtId="0" fontId="2" fillId="0" borderId="0" xfId="176" applyFont="1" applyAlignment="1">
      <alignment horizontal="left" indent="1"/>
    </xf>
    <xf numFmtId="0" fontId="2" fillId="0" borderId="0" xfId="0" applyFont="1" applyAlignment="1">
      <alignment vertical="center"/>
    </xf>
    <xf numFmtId="0" fontId="12" fillId="0" borderId="0" xfId="0" applyFont="1" applyFill="1" applyAlignment="1">
      <alignment horizontal="center"/>
    </xf>
    <xf numFmtId="0" fontId="48" fillId="0" borderId="0" xfId="0" applyFont="1" applyFill="1"/>
    <xf numFmtId="0" fontId="12" fillId="0" borderId="0" xfId="0" applyFont="1" applyFill="1"/>
    <xf numFmtId="0" fontId="48" fillId="0" borderId="0" xfId="0" applyFont="1" applyFill="1" applyAlignment="1">
      <alignment horizontal="left"/>
    </xf>
    <xf numFmtId="0" fontId="0" fillId="0" borderId="0" xfId="0"/>
    <xf numFmtId="0" fontId="177" fillId="0" borderId="0" xfId="0" applyFont="1"/>
    <xf numFmtId="0" fontId="19" fillId="63" borderId="0" xfId="0" applyFont="1" applyFill="1" applyAlignment="1" applyProtection="1">
      <alignment horizontal="left"/>
      <protection hidden="1"/>
    </xf>
    <xf numFmtId="37" fontId="5" fillId="0" borderId="0" xfId="174" applyNumberFormat="1" applyFont="1" applyProtection="1">
      <protection locked="0"/>
    </xf>
    <xf numFmtId="167" fontId="8" fillId="0" borderId="0" xfId="0" applyNumberFormat="1" applyFont="1" applyProtection="1">
      <protection locked="0"/>
    </xf>
    <xf numFmtId="0" fontId="2" fillId="0" borderId="11" xfId="174" applyFont="1" applyBorder="1" applyProtection="1">
      <protection locked="0"/>
    </xf>
    <xf numFmtId="37" fontId="2" fillId="0" borderId="0" xfId="174" applyNumberFormat="1" applyFont="1" applyProtection="1">
      <protection locked="0"/>
    </xf>
    <xf numFmtId="167" fontId="12" fillId="0" borderId="0" xfId="0" applyNumberFormat="1" applyFont="1"/>
    <xf numFmtId="0" fontId="0" fillId="0" borderId="0" xfId="0"/>
    <xf numFmtId="0" fontId="2" fillId="0" borderId="0" xfId="0" applyFont="1"/>
    <xf numFmtId="172" fontId="10" fillId="0" borderId="0" xfId="0" applyNumberFormat="1" applyFont="1" applyAlignment="1">
      <alignment horizontal="center"/>
    </xf>
    <xf numFmtId="0" fontId="2" fillId="0" borderId="0" xfId="0" applyFont="1"/>
    <xf numFmtId="179" fontId="177" fillId="0" borderId="0" xfId="0" applyNumberFormat="1" applyFont="1" applyProtection="1">
      <protection locked="0"/>
    </xf>
    <xf numFmtId="167" fontId="181" fillId="0" borderId="0" xfId="0" applyNumberFormat="1" applyFont="1"/>
    <xf numFmtId="0" fontId="11" fillId="0" borderId="0" xfId="135" applyFont="1" applyAlignment="1">
      <alignment horizontal="center"/>
    </xf>
    <xf numFmtId="0" fontId="3" fillId="0" borderId="0" xfId="135" applyFont="1" applyAlignment="1">
      <alignment horizontal="center"/>
    </xf>
    <xf numFmtId="0" fontId="3" fillId="0" borderId="3" xfId="135" applyFont="1" applyBorder="1" applyAlignment="1">
      <alignment horizontal="center"/>
    </xf>
    <xf numFmtId="14" fontId="3" fillId="0" borderId="3" xfId="135" applyNumberFormat="1" applyFont="1" applyBorder="1" applyAlignment="1">
      <alignment horizontal="center"/>
    </xf>
    <xf numFmtId="183" fontId="2" fillId="0" borderId="3" xfId="155" applyNumberFormat="1" applyFont="1" applyBorder="1" applyAlignment="1" applyProtection="1">
      <alignment horizontal="center"/>
      <protection locked="0"/>
    </xf>
    <xf numFmtId="173" fontId="2" fillId="0" borderId="0" xfId="155" applyNumberFormat="1" applyFont="1" applyAlignment="1" applyProtection="1">
      <alignment horizontal="center"/>
      <protection locked="0"/>
    </xf>
    <xf numFmtId="0" fontId="2" fillId="0" borderId="3" xfId="155" applyFont="1" applyBorder="1" applyAlignment="1" applyProtection="1">
      <alignment horizontal="center"/>
      <protection locked="0"/>
    </xf>
    <xf numFmtId="173" fontId="3" fillId="0" borderId="0" xfId="155" applyNumberFormat="1" applyFont="1" applyAlignment="1" applyProtection="1">
      <alignment horizontal="center"/>
      <protection locked="0"/>
    </xf>
    <xf numFmtId="1" fontId="2" fillId="0" borderId="3" xfId="155" applyNumberFormat="1" applyFont="1" applyBorder="1" applyAlignment="1" applyProtection="1">
      <alignment horizontal="center"/>
      <protection locked="0"/>
    </xf>
    <xf numFmtId="0" fontId="2" fillId="0" borderId="0" xfId="155" applyFont="1" applyAlignment="1" applyProtection="1">
      <alignment horizontal="center"/>
      <protection locked="0"/>
    </xf>
    <xf numFmtId="173" fontId="2" fillId="0" borderId="3" xfId="240" applyNumberFormat="1" applyFont="1" applyBorder="1" applyProtection="1">
      <protection locked="0"/>
    </xf>
    <xf numFmtId="173" fontId="2" fillId="0" borderId="0" xfId="240" applyNumberFormat="1" applyFont="1" applyProtection="1">
      <protection locked="0"/>
    </xf>
    <xf numFmtId="173" fontId="2" fillId="0" borderId="0" xfId="240" applyNumberFormat="1" applyFont="1"/>
    <xf numFmtId="14" fontId="3" fillId="0" borderId="0" xfId="135" applyNumberFormat="1" applyFont="1" applyAlignment="1">
      <alignment horizontal="center"/>
    </xf>
    <xf numFmtId="0" fontId="2" fillId="0" borderId="0" xfId="155" applyFont="1"/>
    <xf numFmtId="0" fontId="2" fillId="0" borderId="7" xfId="155" applyFont="1" applyBorder="1"/>
    <xf numFmtId="0" fontId="2" fillId="0" borderId="0" xfId="155" applyFont="1" applyAlignment="1" applyProtection="1">
      <alignment horizontal="left"/>
      <protection locked="0"/>
    </xf>
    <xf numFmtId="183" fontId="2" fillId="0" borderId="0" xfId="155" applyNumberFormat="1" applyFont="1" applyAlignment="1" applyProtection="1">
      <alignment horizontal="left"/>
      <protection locked="0"/>
    </xf>
    <xf numFmtId="173" fontId="2" fillId="0" borderId="0" xfId="155" applyNumberFormat="1" applyFont="1" applyProtection="1">
      <protection locked="0"/>
    </xf>
    <xf numFmtId="0" fontId="8" fillId="0" borderId="0" xfId="155" applyFont="1"/>
    <xf numFmtId="39" fontId="2" fillId="0" borderId="0" xfId="155" applyNumberFormat="1" applyFont="1" applyProtection="1">
      <protection locked="0"/>
    </xf>
    <xf numFmtId="0" fontId="2" fillId="0" borderId="0" xfId="155" applyFont="1" applyProtection="1">
      <protection locked="0"/>
    </xf>
    <xf numFmtId="172" fontId="2" fillId="0" borderId="0" xfId="0" applyNumberFormat="1" applyFont="1"/>
    <xf numFmtId="172" fontId="2" fillId="0" borderId="0" xfId="0" applyNumberFormat="1" applyFont="1" applyAlignment="1">
      <alignment horizontal="right"/>
    </xf>
    <xf numFmtId="172" fontId="2" fillId="0" borderId="0" xfId="0" applyNumberFormat="1" applyFont="1" applyAlignment="1">
      <alignment horizontal="center"/>
    </xf>
    <xf numFmtId="172" fontId="2" fillId="0" borderId="0" xfId="164" applyNumberFormat="1" applyFont="1" applyAlignment="1">
      <alignment horizontal="right"/>
    </xf>
    <xf numFmtId="173" fontId="3" fillId="0" borderId="0" xfId="155" applyNumberFormat="1" applyFont="1" applyProtection="1">
      <protection locked="0"/>
    </xf>
    <xf numFmtId="0" fontId="2" fillId="0" borderId="0" xfId="0" applyFont="1" applyAlignment="1">
      <alignment horizontal="left"/>
    </xf>
    <xf numFmtId="172" fontId="10" fillId="0" borderId="7" xfId="0" applyNumberFormat="1" applyFont="1" applyBorder="1" applyAlignment="1">
      <alignment horizontal="left"/>
    </xf>
    <xf numFmtId="172" fontId="2" fillId="0" borderId="0" xfId="162" applyNumberFormat="1" applyFont="1" applyBorder="1" applyAlignment="1" applyProtection="1">
      <alignment horizontal="center" shrinkToFit="1"/>
      <protection locked="0"/>
    </xf>
    <xf numFmtId="0" fontId="192" fillId="0" borderId="0" xfId="180" applyFont="1" applyProtection="1">
      <protection locked="0"/>
    </xf>
    <xf numFmtId="0" fontId="192" fillId="0" borderId="15" xfId="180" applyFont="1" applyBorder="1" applyAlignment="1">
      <alignment horizontal="center"/>
    </xf>
    <xf numFmtId="14" fontId="134" fillId="0" borderId="0" xfId="0" applyNumberFormat="1" applyFont="1" applyAlignment="1">
      <alignment horizontal="center"/>
    </xf>
    <xf numFmtId="0" fontId="134" fillId="0" borderId="0" xfId="0" applyFont="1"/>
    <xf numFmtId="0" fontId="134" fillId="0" borderId="0" xfId="0" applyFont="1" applyAlignment="1">
      <alignment horizontal="center" wrapText="1"/>
    </xf>
    <xf numFmtId="49" fontId="134" fillId="0" borderId="0" xfId="0" applyNumberFormat="1" applyFont="1" applyAlignment="1">
      <alignment horizontal="left" wrapText="1"/>
    </xf>
    <xf numFmtId="0" fontId="0" fillId="0" borderId="0" xfId="0" applyProtection="1">
      <protection locked="0"/>
    </xf>
    <xf numFmtId="0" fontId="0" fillId="0" borderId="0" xfId="0" applyAlignment="1" applyProtection="1">
      <alignment horizontal="center" wrapText="1"/>
      <protection locked="0"/>
    </xf>
    <xf numFmtId="0" fontId="3" fillId="0" borderId="0" xfId="176" applyFont="1" applyAlignment="1">
      <alignment horizontal="right"/>
    </xf>
    <xf numFmtId="0" fontId="2" fillId="0" borderId="0" xfId="241" applyFont="1"/>
    <xf numFmtId="0" fontId="3" fillId="73" borderId="31" xfId="0" applyFont="1" applyFill="1" applyBorder="1" applyAlignment="1">
      <alignment horizontal="left"/>
    </xf>
    <xf numFmtId="0" fontId="3" fillId="60" borderId="0" xfId="0" applyFont="1" applyFill="1" applyAlignment="1">
      <alignment horizontal="left"/>
    </xf>
    <xf numFmtId="0" fontId="3" fillId="73" borderId="0" xfId="0" applyFont="1" applyFill="1" applyAlignment="1">
      <alignment horizontal="left"/>
    </xf>
    <xf numFmtId="0" fontId="119" fillId="0" borderId="0" xfId="0" applyFont="1"/>
    <xf numFmtId="172" fontId="7" fillId="0" borderId="0" xfId="162" applyNumberFormat="1" applyFont="1" applyBorder="1" applyAlignment="1">
      <alignment horizontal="center" shrinkToFit="1"/>
    </xf>
    <xf numFmtId="0" fontId="8" fillId="0" borderId="0" xfId="0" applyFont="1" applyFill="1"/>
    <xf numFmtId="0" fontId="8" fillId="0" borderId="0" xfId="0" applyFont="1" applyFill="1" applyAlignment="1">
      <alignment horizontal="center"/>
    </xf>
    <xf numFmtId="169" fontId="0" fillId="0" borderId="0" xfId="0" applyNumberFormat="1" applyFill="1"/>
    <xf numFmtId="49" fontId="134" fillId="0" borderId="0" xfId="0" applyNumberFormat="1" applyFont="1" applyAlignment="1" applyProtection="1">
      <alignment horizontal="left" wrapText="1"/>
    </xf>
    <xf numFmtId="0" fontId="134" fillId="0" borderId="0" xfId="0" applyFont="1" applyAlignment="1" applyProtection="1">
      <alignment vertical="center"/>
    </xf>
    <xf numFmtId="14" fontId="0" fillId="0" borderId="0" xfId="0" applyNumberFormat="1" applyFill="1" applyAlignment="1" applyProtection="1">
      <alignment horizontal="center"/>
    </xf>
    <xf numFmtId="0" fontId="0" fillId="0" borderId="0" xfId="0"/>
    <xf numFmtId="0" fontId="17" fillId="0" borderId="0" xfId="90" applyAlignment="1" applyProtection="1">
      <alignment horizontal="left"/>
    </xf>
    <xf numFmtId="0" fontId="2" fillId="0" borderId="0" xfId="0" applyFont="1" applyAlignment="1">
      <alignment vertical="center"/>
    </xf>
    <xf numFmtId="0" fontId="3" fillId="0" borderId="0" xfId="176" applyFont="1"/>
    <xf numFmtId="0" fontId="2" fillId="0" borderId="0" xfId="0" applyFont="1" applyAlignment="1">
      <alignment horizontal="left" vertical="center"/>
    </xf>
    <xf numFmtId="0" fontId="2" fillId="0" borderId="0" xfId="0" applyFont="1"/>
    <xf numFmtId="0" fontId="11" fillId="0" borderId="0" xfId="90" applyFont="1" applyAlignment="1" applyProtection="1">
      <alignment vertical="center"/>
    </xf>
    <xf numFmtId="172" fontId="2" fillId="0" borderId="0" xfId="164" applyNumberFormat="1"/>
    <xf numFmtId="0" fontId="0" fillId="0" borderId="0" xfId="0"/>
    <xf numFmtId="0" fontId="120" fillId="0" borderId="0" xfId="0" applyFont="1" applyAlignment="1">
      <alignment horizontal="left" vertical="center" indent="4"/>
    </xf>
    <xf numFmtId="0" fontId="3" fillId="0" borderId="14" xfId="176" applyFont="1" applyBorder="1"/>
    <xf numFmtId="0" fontId="3" fillId="0" borderId="14" xfId="176" applyFont="1" applyBorder="1" applyAlignment="1">
      <alignment horizontal="center"/>
    </xf>
    <xf numFmtId="0" fontId="2" fillId="0" borderId="14" xfId="176" applyFont="1" applyBorder="1" applyAlignment="1" applyProtection="1">
      <alignment horizontal="center"/>
      <protection locked="0"/>
    </xf>
    <xf numFmtId="0" fontId="2" fillId="0" borderId="14" xfId="176" applyFont="1" applyBorder="1"/>
    <xf numFmtId="0" fontId="29" fillId="0" borderId="14" xfId="176" applyBorder="1"/>
    <xf numFmtId="170" fontId="2" fillId="0" borderId="0" xfId="176" applyNumberFormat="1" applyFont="1" applyAlignment="1">
      <alignment horizontal="center"/>
    </xf>
    <xf numFmtId="0" fontId="2" fillId="0" borderId="0" xfId="0" applyFont="1"/>
    <xf numFmtId="0" fontId="2" fillId="0" borderId="0" xfId="0" applyFont="1" applyAlignment="1">
      <alignment horizontal="left"/>
    </xf>
    <xf numFmtId="0" fontId="3" fillId="0" borderId="0" xfId="155" applyFont="1" applyAlignment="1">
      <alignment horizontal="center"/>
    </xf>
    <xf numFmtId="0" fontId="2" fillId="0" borderId="0" xfId="0" applyFont="1"/>
    <xf numFmtId="0" fontId="2" fillId="0" borderId="0" xfId="0" applyFont="1"/>
    <xf numFmtId="0" fontId="194" fillId="0" borderId="15" xfId="90" applyFont="1" applyBorder="1" applyAlignment="1" applyProtection="1">
      <alignment horizontal="left" wrapText="1"/>
    </xf>
    <xf numFmtId="0" fontId="2" fillId="0" borderId="0" xfId="0" applyFont="1" applyAlignment="1">
      <alignment vertical="center"/>
    </xf>
    <xf numFmtId="0" fontId="0" fillId="0" borderId="0" xfId="0"/>
    <xf numFmtId="0" fontId="2" fillId="0" borderId="0" xfId="0" applyFont="1"/>
    <xf numFmtId="0" fontId="10" fillId="0" borderId="0" xfId="160" applyFont="1" applyAlignment="1">
      <alignment horizontal="center"/>
    </xf>
    <xf numFmtId="0" fontId="197" fillId="0" borderId="0" xfId="0" applyFont="1" applyAlignment="1">
      <alignment horizontal="left" vertical="center"/>
    </xf>
    <xf numFmtId="0" fontId="48" fillId="0" borderId="0" xfId="0" applyFont="1" applyAlignment="1">
      <alignment horizontal="center"/>
    </xf>
    <xf numFmtId="0" fontId="198" fillId="0" borderId="0" xfId="0" applyFont="1" applyAlignment="1">
      <alignment horizontal="center"/>
    </xf>
    <xf numFmtId="0" fontId="173" fillId="0" borderId="0" xfId="0" applyFont="1" applyAlignment="1">
      <alignment horizontal="center"/>
    </xf>
    <xf numFmtId="0" fontId="198" fillId="0" borderId="0" xfId="0" applyFont="1"/>
    <xf numFmtId="0" fontId="155" fillId="0" borderId="0" xfId="0" applyFont="1"/>
    <xf numFmtId="0" fontId="121" fillId="75" borderId="15" xfId="0" applyFont="1" applyFill="1" applyBorder="1" applyProtection="1"/>
    <xf numFmtId="0" fontId="2" fillId="0" borderId="0" xfId="0" applyFont="1" applyAlignment="1">
      <alignment vertical="center"/>
    </xf>
    <xf numFmtId="0" fontId="41" fillId="0" borderId="3" xfId="155" applyFont="1" applyBorder="1" applyAlignment="1" applyProtection="1">
      <alignment horizontal="center"/>
    </xf>
    <xf numFmtId="0" fontId="6" fillId="0" borderId="0" xfId="158" applyFont="1"/>
    <xf numFmtId="0" fontId="3" fillId="0" borderId="0" xfId="176" applyFont="1"/>
    <xf numFmtId="167" fontId="12" fillId="0" borderId="0" xfId="0" applyNumberFormat="1" applyFont="1"/>
    <xf numFmtId="0" fontId="0" fillId="0" borderId="0" xfId="0"/>
    <xf numFmtId="167" fontId="12" fillId="0" borderId="0" xfId="0" applyNumberFormat="1" applyFont="1"/>
    <xf numFmtId="0" fontId="0" fillId="0" borderId="0" xfId="0"/>
    <xf numFmtId="0" fontId="0" fillId="0" borderId="0" xfId="0"/>
    <xf numFmtId="0" fontId="10" fillId="0" borderId="0" xfId="0" applyFont="1"/>
    <xf numFmtId="49" fontId="2" fillId="0" borderId="15" xfId="176" applyNumberFormat="1" applyFont="1" applyBorder="1" applyAlignment="1" applyProtection="1">
      <alignment horizontal="center"/>
      <protection locked="0"/>
    </xf>
    <xf numFmtId="0" fontId="0" fillId="0" borderId="7" xfId="0" applyBorder="1"/>
    <xf numFmtId="0" fontId="0" fillId="0" borderId="0" xfId="0" applyBorder="1"/>
    <xf numFmtId="0" fontId="177" fillId="0" borderId="0" xfId="0" applyFont="1" applyFill="1"/>
    <xf numFmtId="0" fontId="0" fillId="0" borderId="0" xfId="0" applyFill="1"/>
    <xf numFmtId="0" fontId="0" fillId="0" borderId="0" xfId="0"/>
    <xf numFmtId="0" fontId="0" fillId="0" borderId="47" xfId="0" applyBorder="1"/>
    <xf numFmtId="0" fontId="0" fillId="0" borderId="43" xfId="0" applyBorder="1"/>
    <xf numFmtId="0" fontId="0" fillId="0" borderId="48" xfId="0" applyBorder="1"/>
    <xf numFmtId="0" fontId="0" fillId="0" borderId="49" xfId="0" applyBorder="1"/>
    <xf numFmtId="0" fontId="0" fillId="0" borderId="24" xfId="0" applyBorder="1"/>
    <xf numFmtId="0" fontId="119" fillId="0" borderId="0" xfId="0" applyFont="1" applyBorder="1"/>
    <xf numFmtId="0" fontId="199" fillId="0" borderId="0" xfId="0" applyFont="1" applyBorder="1"/>
    <xf numFmtId="0" fontId="0" fillId="0" borderId="25" xfId="0" applyBorder="1"/>
    <xf numFmtId="0" fontId="0" fillId="0" borderId="50" xfId="0" applyBorder="1"/>
    <xf numFmtId="0" fontId="32" fillId="0" borderId="0" xfId="0" applyFont="1" applyBorder="1"/>
    <xf numFmtId="0" fontId="3" fillId="0" borderId="24" xfId="0" applyFont="1" applyBorder="1"/>
    <xf numFmtId="0" fontId="0" fillId="0" borderId="51" xfId="0" applyBorder="1"/>
    <xf numFmtId="0" fontId="2" fillId="0" borderId="0" xfId="172" applyFont="1"/>
    <xf numFmtId="0" fontId="32" fillId="0" borderId="0" xfId="0" applyFont="1" applyFill="1" applyBorder="1"/>
    <xf numFmtId="0" fontId="3" fillId="0" borderId="24" xfId="0" applyFont="1" applyFill="1" applyBorder="1"/>
    <xf numFmtId="0" fontId="3" fillId="0" borderId="25" xfId="0" applyFont="1" applyBorder="1" applyAlignment="1">
      <alignment horizontal="center"/>
    </xf>
    <xf numFmtId="0" fontId="5" fillId="0" borderId="14" xfId="0" applyFont="1" applyBorder="1"/>
    <xf numFmtId="0" fontId="0" fillId="0" borderId="0" xfId="0"/>
    <xf numFmtId="0" fontId="0" fillId="0" borderId="0" xfId="0"/>
    <xf numFmtId="0" fontId="5" fillId="0" borderId="0" xfId="171" applyFont="1" applyFill="1" applyAlignment="1">
      <alignment horizontal="center" shrinkToFit="1"/>
    </xf>
    <xf numFmtId="0" fontId="2" fillId="0" borderId="0" xfId="171" applyFont="1" applyFill="1" applyAlignment="1">
      <alignment horizontal="center" shrinkToFit="1"/>
    </xf>
    <xf numFmtId="0" fontId="2" fillId="0" borderId="3"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0" fillId="0" borderId="0" xfId="0"/>
    <xf numFmtId="49" fontId="2" fillId="0" borderId="3" xfId="176" applyNumberFormat="1" applyFont="1" applyBorder="1" applyAlignment="1" applyProtection="1">
      <alignment horizontal="center"/>
      <protection locked="0"/>
    </xf>
    <xf numFmtId="0" fontId="2" fillId="0" borderId="3" xfId="0" applyFont="1" applyBorder="1" applyAlignment="1" applyProtection="1">
      <alignment horizontal="center"/>
      <protection locked="0"/>
    </xf>
    <xf numFmtId="0" fontId="0" fillId="0" borderId="0" xfId="0"/>
    <xf numFmtId="0" fontId="0" fillId="0" borderId="0" xfId="0" applyFill="1" applyBorder="1"/>
    <xf numFmtId="0" fontId="202" fillId="0" borderId="0" xfId="0" applyFont="1"/>
    <xf numFmtId="167" fontId="12" fillId="0" borderId="0" xfId="0" applyNumberFormat="1" applyFont="1"/>
    <xf numFmtId="177" fontId="12" fillId="0" borderId="0" xfId="0" applyNumberFormat="1" applyFont="1"/>
    <xf numFmtId="0" fontId="0" fillId="0" borderId="0" xfId="0"/>
    <xf numFmtId="0" fontId="0" fillId="0" borderId="0" xfId="0"/>
    <xf numFmtId="179" fontId="181" fillId="0" borderId="0" xfId="0" applyNumberFormat="1" applyFont="1"/>
    <xf numFmtId="169" fontId="0" fillId="0" borderId="0" xfId="0" applyNumberFormat="1" applyBorder="1" applyProtection="1">
      <protection locked="0"/>
    </xf>
    <xf numFmtId="39" fontId="127" fillId="0" borderId="0" xfId="134" applyNumberFormat="1" applyBorder="1"/>
    <xf numFmtId="167" fontId="12" fillId="0" borderId="0" xfId="0" applyNumberFormat="1" applyFont="1"/>
    <xf numFmtId="0" fontId="0" fillId="0" borderId="0" xfId="0"/>
    <xf numFmtId="0" fontId="11" fillId="0" borderId="0" xfId="172" applyFont="1" applyFill="1" applyAlignment="1">
      <alignment horizontal="left" vertical="top"/>
    </xf>
    <xf numFmtId="0" fontId="0" fillId="0" borderId="0" xfId="0"/>
    <xf numFmtId="0" fontId="3" fillId="0" borderId="0" xfId="171" applyFont="1" applyBorder="1" applyAlignment="1">
      <alignment horizontal="center"/>
    </xf>
    <xf numFmtId="171" fontId="5" fillId="0" borderId="0" xfId="171" applyNumberFormat="1" applyFont="1" applyBorder="1" applyProtection="1">
      <protection locked="0"/>
    </xf>
    <xf numFmtId="171" fontId="5" fillId="0" borderId="0" xfId="172" applyNumberFormat="1" applyFont="1" applyBorder="1" applyProtection="1">
      <protection locked="0"/>
    </xf>
    <xf numFmtId="0" fontId="3" fillId="0" borderId="0" xfId="242" applyFont="1" applyAlignment="1">
      <alignment horizontal="center"/>
    </xf>
    <xf numFmtId="0" fontId="3" fillId="0" borderId="7" xfId="242" applyFont="1" applyBorder="1" applyAlignment="1">
      <alignment horizontal="center"/>
    </xf>
    <xf numFmtId="0" fontId="67" fillId="61" borderId="0" xfId="172" applyFont="1" applyFill="1"/>
    <xf numFmtId="0" fontId="48" fillId="65" borderId="0" xfId="0" applyFont="1" applyFill="1"/>
    <xf numFmtId="0" fontId="0" fillId="0" borderId="0" xfId="0"/>
    <xf numFmtId="0" fontId="32" fillId="0" borderId="0" xfId="0" applyFont="1" applyFill="1"/>
    <xf numFmtId="0" fontId="17" fillId="0" borderId="0" xfId="90" applyAlignment="1" applyProtection="1"/>
    <xf numFmtId="0" fontId="0" fillId="0" borderId="0" xfId="0"/>
    <xf numFmtId="0" fontId="10" fillId="0" borderId="0" xfId="176" applyFont="1" applyAlignment="1">
      <alignment vertical="center"/>
    </xf>
    <xf numFmtId="0" fontId="31" fillId="0" borderId="0" xfId="176" applyFont="1" applyAlignment="1">
      <alignment vertical="center"/>
    </xf>
    <xf numFmtId="0" fontId="2" fillId="0" borderId="0" xfId="0" applyFont="1" applyFill="1"/>
    <xf numFmtId="0" fontId="10" fillId="0" borderId="0" xfId="177" applyFont="1" applyAlignment="1">
      <alignment vertical="center"/>
    </xf>
    <xf numFmtId="169" fontId="0" fillId="0" borderId="0" xfId="0" applyNumberFormat="1" applyProtection="1"/>
    <xf numFmtId="0" fontId="31" fillId="0" borderId="0" xfId="176" applyFont="1" applyAlignment="1" applyProtection="1">
      <alignment vertical="center"/>
      <protection hidden="1"/>
    </xf>
    <xf numFmtId="0" fontId="204" fillId="0" borderId="0" xfId="0" applyFont="1" applyProtection="1">
      <protection hidden="1"/>
    </xf>
    <xf numFmtId="184" fontId="5" fillId="0" borderId="3" xfId="171" applyNumberFormat="1" applyFont="1" applyBorder="1" applyProtection="1">
      <protection locked="0"/>
    </xf>
    <xf numFmtId="0" fontId="59" fillId="0" borderId="17" xfId="90" quotePrefix="1" applyFont="1" applyBorder="1" applyAlignment="1" applyProtection="1">
      <alignment horizontal="left" vertical="top" wrapText="1"/>
    </xf>
    <xf numFmtId="0" fontId="59" fillId="0" borderId="11" xfId="90" applyFont="1" applyBorder="1" applyAlignment="1" applyProtection="1">
      <alignment horizontal="left" vertical="top" wrapText="1"/>
    </xf>
    <xf numFmtId="0" fontId="59" fillId="0" borderId="18" xfId="90" applyFont="1" applyBorder="1" applyAlignment="1" applyProtection="1">
      <alignment horizontal="left" vertical="top" wrapText="1"/>
    </xf>
    <xf numFmtId="15" fontId="19" fillId="0" borderId="0" xfId="176" applyNumberFormat="1" applyFont="1" applyAlignment="1">
      <alignment horizontal="center"/>
    </xf>
    <xf numFmtId="0" fontId="59" fillId="0" borderId="17" xfId="90" applyFont="1" applyBorder="1" applyAlignment="1" applyProtection="1">
      <alignment horizontal="left" vertical="top" wrapText="1"/>
    </xf>
    <xf numFmtId="0" fontId="60" fillId="0" borderId="0" xfId="90" applyFont="1" applyAlignment="1" applyProtection="1"/>
    <xf numFmtId="0" fontId="162" fillId="0" borderId="0" xfId="90" applyFont="1" applyAlignment="1" applyProtection="1">
      <alignment horizontal="left"/>
    </xf>
    <xf numFmtId="0" fontId="196" fillId="0" borderId="17" xfId="90" applyFont="1" applyBorder="1" applyAlignment="1" applyProtection="1">
      <alignment horizontal="left" vertical="top" wrapText="1"/>
    </xf>
    <xf numFmtId="0" fontId="196" fillId="0" borderId="11" xfId="90" applyFont="1" applyBorder="1" applyAlignment="1" applyProtection="1">
      <alignment horizontal="left" vertical="top" wrapText="1"/>
    </xf>
    <xf numFmtId="0" fontId="196" fillId="0" borderId="18" xfId="90" applyFont="1" applyBorder="1" applyAlignment="1" applyProtection="1">
      <alignment horizontal="left" vertical="top" wrapText="1"/>
    </xf>
    <xf numFmtId="176" fontId="19" fillId="0" borderId="0" xfId="0" applyNumberFormat="1" applyFont="1" applyAlignment="1">
      <alignment horizontal="left"/>
    </xf>
    <xf numFmtId="0" fontId="19" fillId="0" borderId="0" xfId="0" applyFont="1"/>
    <xf numFmtId="0" fontId="19" fillId="0" borderId="0" xfId="0" applyFont="1" applyAlignment="1">
      <alignment horizontal="right"/>
    </xf>
    <xf numFmtId="0" fontId="19" fillId="0" borderId="17" xfId="0" applyFont="1" applyBorder="1"/>
    <xf numFmtId="0" fontId="19" fillId="0" borderId="18" xfId="0" applyFont="1" applyBorder="1"/>
    <xf numFmtId="0" fontId="59" fillId="0" borderId="17" xfId="90" applyFont="1" applyBorder="1" applyAlignment="1" applyProtection="1">
      <alignment horizontal="left" wrapText="1"/>
    </xf>
    <xf numFmtId="0" fontId="59" fillId="0" borderId="11" xfId="90" applyFont="1" applyBorder="1" applyAlignment="1" applyProtection="1">
      <alignment horizontal="left" wrapText="1"/>
    </xf>
    <xf numFmtId="0" fontId="59" fillId="0" borderId="18" xfId="90" applyFont="1" applyBorder="1" applyAlignment="1" applyProtection="1">
      <alignment horizontal="left" wrapText="1"/>
    </xf>
    <xf numFmtId="0" fontId="195" fillId="0" borderId="17" xfId="90" applyFont="1" applyBorder="1" applyAlignment="1" applyProtection="1">
      <alignment horizontal="left" vertical="top" wrapText="1"/>
    </xf>
    <xf numFmtId="0" fontId="195" fillId="0" borderId="11" xfId="90" applyFont="1" applyBorder="1" applyAlignment="1" applyProtection="1">
      <alignment horizontal="left" vertical="top" wrapText="1"/>
    </xf>
    <xf numFmtId="0" fontId="195" fillId="0" borderId="18" xfId="90" applyFont="1" applyBorder="1" applyAlignment="1" applyProtection="1">
      <alignment horizontal="left" vertical="top" wrapText="1"/>
    </xf>
    <xf numFmtId="0" fontId="17" fillId="0" borderId="11" xfId="90" applyBorder="1" applyAlignment="1">
      <alignment horizontal="center"/>
      <protection locked="0"/>
    </xf>
    <xf numFmtId="0" fontId="59" fillId="0" borderId="11" xfId="0" applyFont="1" applyBorder="1" applyAlignment="1" applyProtection="1">
      <alignment horizontal="center"/>
      <protection locked="0"/>
    </xf>
    <xf numFmtId="0" fontId="59" fillId="0" borderId="18" xfId="0" applyFont="1" applyBorder="1" applyAlignment="1" applyProtection="1">
      <alignment horizontal="center"/>
      <protection locked="0"/>
    </xf>
    <xf numFmtId="0" fontId="59" fillId="0" borderId="0" xfId="0" applyFont="1" applyAlignment="1">
      <alignment horizontal="center"/>
    </xf>
    <xf numFmtId="0" fontId="59" fillId="27" borderId="11" xfId="0" applyFont="1" applyFill="1" applyBorder="1" applyAlignment="1">
      <alignment horizontal="center"/>
    </xf>
    <xf numFmtId="0" fontId="59" fillId="27" borderId="18" xfId="0" applyFont="1" applyFill="1" applyBorder="1" applyAlignment="1">
      <alignment horizontal="center"/>
    </xf>
    <xf numFmtId="0" fontId="57" fillId="0" borderId="15" xfId="0" applyFont="1" applyBorder="1" applyAlignment="1">
      <alignment horizontal="center"/>
    </xf>
    <xf numFmtId="0" fontId="56" fillId="0" borderId="0" xfId="0" applyFont="1" applyAlignment="1">
      <alignment horizontal="center"/>
    </xf>
    <xf numFmtId="0" fontId="59" fillId="0" borderId="3" xfId="0" applyFont="1" applyBorder="1" applyAlignment="1" applyProtection="1">
      <alignment horizontal="center"/>
      <protection locked="0"/>
    </xf>
    <xf numFmtId="0" fontId="57" fillId="66" borderId="17" xfId="0" applyFont="1" applyFill="1" applyBorder="1" applyAlignment="1">
      <alignment horizontal="center"/>
    </xf>
    <xf numFmtId="0" fontId="57" fillId="66" borderId="11" xfId="0" applyFont="1" applyFill="1" applyBorder="1" applyAlignment="1">
      <alignment horizontal="center"/>
    </xf>
    <xf numFmtId="0" fontId="57" fillId="66" borderId="18" xfId="0" applyFont="1" applyFill="1" applyBorder="1" applyAlignment="1">
      <alignment horizontal="center"/>
    </xf>
    <xf numFmtId="0" fontId="10" fillId="0" borderId="0" xfId="0" applyFont="1" applyAlignment="1">
      <alignment horizontal="center"/>
    </xf>
    <xf numFmtId="0" fontId="119" fillId="0" borderId="3" xfId="0" applyFont="1" applyBorder="1" applyAlignment="1" applyProtection="1">
      <alignment horizontal="center"/>
    </xf>
    <xf numFmtId="0" fontId="56" fillId="0" borderId="0" xfId="180" applyFont="1" applyAlignment="1" applyProtection="1">
      <alignment horizontal="center"/>
    </xf>
    <xf numFmtId="172" fontId="30" fillId="0" borderId="0" xfId="90" applyNumberFormat="1" applyFont="1" applyAlignment="1" applyProtection="1">
      <alignment horizontal="center"/>
    </xf>
    <xf numFmtId="167" fontId="8" fillId="0" borderId="0" xfId="0" applyNumberFormat="1" applyFont="1"/>
    <xf numFmtId="167" fontId="8" fillId="0" borderId="0" xfId="0" applyNumberFormat="1" applyFont="1" applyAlignment="1">
      <alignment horizontal="left"/>
    </xf>
    <xf numFmtId="167" fontId="8" fillId="0" borderId="0" xfId="0" applyNumberFormat="1" applyFont="1" applyAlignment="1">
      <alignment horizontal="left" indent="1"/>
    </xf>
    <xf numFmtId="167" fontId="8" fillId="0" borderId="0" xfId="0" applyNumberFormat="1" applyFont="1" applyFill="1"/>
    <xf numFmtId="167" fontId="8" fillId="0" borderId="0" xfId="0" applyNumberFormat="1" applyFont="1" applyFill="1" applyAlignment="1">
      <alignment horizontal="center"/>
    </xf>
    <xf numFmtId="167" fontId="8" fillId="0" borderId="0" xfId="0" applyNumberFormat="1" applyFont="1" applyAlignment="1">
      <alignment horizontal="center"/>
    </xf>
    <xf numFmtId="0" fontId="30" fillId="0" borderId="0" xfId="90" applyFont="1" applyAlignment="1" applyProtection="1">
      <alignment horizontal="center"/>
    </xf>
    <xf numFmtId="0" fontId="3" fillId="0" borderId="0" xfId="0" applyFont="1" applyAlignment="1">
      <alignment horizontal="center"/>
    </xf>
    <xf numFmtId="0" fontId="63" fillId="0" borderId="3" xfId="175" applyFont="1" applyBorder="1" applyAlignment="1">
      <alignment horizontal="left"/>
    </xf>
    <xf numFmtId="0" fontId="0" fillId="0" borderId="3" xfId="0" applyBorder="1"/>
    <xf numFmtId="0" fontId="32" fillId="0" borderId="0" xfId="0" applyFont="1" applyAlignment="1">
      <alignment horizontal="center"/>
    </xf>
    <xf numFmtId="0" fontId="48" fillId="63" borderId="7" xfId="0" applyFont="1" applyFill="1" applyBorder="1" applyAlignment="1">
      <alignment horizontal="center"/>
    </xf>
    <xf numFmtId="167" fontId="8" fillId="0" borderId="0" xfId="0" applyNumberFormat="1" applyFont="1" applyFill="1" applyAlignment="1">
      <alignment horizontal="left"/>
    </xf>
    <xf numFmtId="167" fontId="165" fillId="0" borderId="0" xfId="0" applyNumberFormat="1" applyFont="1"/>
    <xf numFmtId="167" fontId="8" fillId="65" borderId="0" xfId="0" applyNumberFormat="1" applyFont="1" applyFill="1"/>
    <xf numFmtId="167" fontId="8" fillId="63" borderId="0" xfId="0" applyNumberFormat="1" applyFont="1" applyFill="1"/>
    <xf numFmtId="167" fontId="8" fillId="65" borderId="0" xfId="0" applyNumberFormat="1" applyFont="1" applyFill="1" applyAlignment="1">
      <alignment horizontal="center"/>
    </xf>
    <xf numFmtId="172" fontId="63" fillId="0" borderId="3" xfId="0" applyNumberFormat="1" applyFont="1" applyBorder="1" applyAlignment="1">
      <alignment horizontal="center"/>
    </xf>
    <xf numFmtId="167" fontId="12" fillId="0" borderId="0" xfId="0" applyNumberFormat="1" applyFont="1" applyAlignment="1">
      <alignment horizontal="left" indent="1"/>
    </xf>
    <xf numFmtId="167" fontId="158" fillId="0" borderId="0" xfId="0" applyNumberFormat="1" applyFont="1" applyAlignment="1">
      <alignment horizontal="left" indent="1"/>
    </xf>
    <xf numFmtId="167" fontId="49" fillId="0" borderId="0" xfId="0" applyNumberFormat="1" applyFont="1"/>
    <xf numFmtId="167" fontId="158" fillId="0" borderId="0" xfId="0" applyNumberFormat="1" applyFont="1" applyFill="1" applyAlignment="1">
      <alignment horizontal="left"/>
    </xf>
    <xf numFmtId="167" fontId="8" fillId="0" borderId="0" xfId="0" applyNumberFormat="1" applyFont="1" applyFill="1" applyAlignment="1">
      <alignment horizontal="left" indent="1"/>
    </xf>
    <xf numFmtId="167" fontId="12" fillId="0" borderId="0" xfId="0" applyNumberFormat="1" applyFont="1" applyFill="1" applyAlignment="1">
      <alignment horizontal="left" indent="1"/>
    </xf>
    <xf numFmtId="167" fontId="8" fillId="65" borderId="0" xfId="0" applyNumberFormat="1" applyFont="1" applyFill="1" applyAlignment="1">
      <alignment horizontal="left" indent="1"/>
    </xf>
    <xf numFmtId="167" fontId="12" fillId="65" borderId="0" xfId="0" applyNumberFormat="1" applyFont="1" applyFill="1" applyAlignment="1">
      <alignment horizontal="left" indent="1"/>
    </xf>
    <xf numFmtId="167" fontId="158" fillId="0" borderId="0" xfId="0" applyNumberFormat="1" applyFont="1"/>
    <xf numFmtId="0" fontId="73" fillId="0" borderId="0" xfId="0" applyFont="1" applyAlignment="1">
      <alignment horizontal="center"/>
    </xf>
    <xf numFmtId="167" fontId="185" fillId="0" borderId="0" xfId="0" applyNumberFormat="1" applyFont="1"/>
    <xf numFmtId="172" fontId="63" fillId="0" borderId="3" xfId="0" applyNumberFormat="1" applyFont="1" applyBorder="1" applyAlignment="1" applyProtection="1">
      <alignment horizontal="center"/>
      <protection locked="0"/>
    </xf>
    <xf numFmtId="167" fontId="8" fillId="60" borderId="0" xfId="0" applyNumberFormat="1" applyFont="1" applyFill="1" applyAlignment="1">
      <alignment horizontal="left"/>
    </xf>
    <xf numFmtId="167" fontId="8" fillId="60" borderId="0" xfId="0" applyNumberFormat="1" applyFont="1" applyFill="1" applyAlignment="1">
      <alignment horizontal="left" indent="1"/>
    </xf>
    <xf numFmtId="0" fontId="65" fillId="60" borderId="0" xfId="0" applyFont="1" applyFill="1" applyAlignment="1">
      <alignment horizontal="center"/>
    </xf>
    <xf numFmtId="0" fontId="67" fillId="0" borderId="0" xfId="0" applyFont="1" applyAlignment="1">
      <alignment horizontal="center"/>
    </xf>
    <xf numFmtId="167" fontId="158" fillId="0" borderId="0" xfId="0" applyNumberFormat="1" applyFont="1" applyAlignment="1">
      <alignment horizontal="left"/>
    </xf>
    <xf numFmtId="167" fontId="8" fillId="65" borderId="0" xfId="0" applyNumberFormat="1" applyFont="1" applyFill="1" applyAlignment="1">
      <alignment horizontal="left"/>
    </xf>
    <xf numFmtId="0" fontId="119" fillId="0" borderId="0" xfId="0" applyFont="1" applyAlignment="1">
      <alignment horizontal="center"/>
    </xf>
    <xf numFmtId="0" fontId="71" fillId="0" borderId="0" xfId="0" applyFont="1" applyAlignment="1">
      <alignment horizontal="center"/>
    </xf>
    <xf numFmtId="167" fontId="8" fillId="0" borderId="0" xfId="0" applyNumberFormat="1" applyFont="1" applyAlignment="1">
      <alignment horizontal="left" indent="2"/>
    </xf>
    <xf numFmtId="167" fontId="158" fillId="0" borderId="0" xfId="0" applyNumberFormat="1" applyFont="1" applyFill="1"/>
    <xf numFmtId="0" fontId="48" fillId="28" borderId="17" xfId="0" applyFont="1" applyFill="1" applyBorder="1" applyAlignment="1">
      <alignment horizontal="center"/>
    </xf>
    <xf numFmtId="0" fontId="49" fillId="28" borderId="11" xfId="0" applyFont="1" applyFill="1" applyBorder="1" applyAlignment="1">
      <alignment horizontal="center"/>
    </xf>
    <xf numFmtId="0" fontId="49" fillId="28" borderId="29" xfId="0" applyFont="1" applyFill="1" applyBorder="1" applyAlignment="1">
      <alignment horizontal="center"/>
    </xf>
    <xf numFmtId="0" fontId="48" fillId="63" borderId="0" xfId="0" applyFont="1" applyFill="1" applyAlignment="1">
      <alignment horizontal="center"/>
    </xf>
    <xf numFmtId="0" fontId="49" fillId="28" borderId="18" xfId="0" applyFont="1" applyFill="1" applyBorder="1" applyAlignment="1">
      <alignment horizontal="center"/>
    </xf>
    <xf numFmtId="177" fontId="12" fillId="0" borderId="0" xfId="0" applyNumberFormat="1" applyFont="1"/>
    <xf numFmtId="167" fontId="12" fillId="0" borderId="0" xfId="0" applyNumberFormat="1" applyFont="1"/>
    <xf numFmtId="167" fontId="8" fillId="63" borderId="0" xfId="0" applyNumberFormat="1" applyFont="1" applyFill="1" applyAlignment="1">
      <alignment horizontal="center"/>
    </xf>
    <xf numFmtId="167" fontId="12" fillId="65" borderId="0" xfId="0" applyNumberFormat="1" applyFont="1" applyFill="1"/>
    <xf numFmtId="0" fontId="2" fillId="0" borderId="3" xfId="175" applyFont="1" applyBorder="1" applyAlignment="1">
      <alignment horizontal="left"/>
    </xf>
    <xf numFmtId="172" fontId="5" fillId="0" borderId="3" xfId="162" applyNumberFormat="1" applyFont="1" applyBorder="1" applyAlignment="1">
      <alignment horizontal="center" shrinkToFit="1"/>
    </xf>
    <xf numFmtId="172" fontId="5" fillId="0" borderId="11" xfId="162" applyNumberFormat="1" applyFont="1" applyBorder="1" applyAlignment="1" applyProtection="1">
      <alignment horizontal="center" shrinkToFit="1"/>
      <protection locked="0"/>
    </xf>
    <xf numFmtId="0" fontId="10" fillId="0" borderId="0" xfId="0" applyFont="1" applyAlignment="1">
      <alignment horizontal="center" wrapText="1"/>
    </xf>
    <xf numFmtId="167" fontId="12" fillId="0" borderId="0" xfId="0" applyNumberFormat="1" applyFont="1" applyFill="1"/>
    <xf numFmtId="0" fontId="31" fillId="0" borderId="0" xfId="176" applyFont="1" applyAlignment="1" applyProtection="1">
      <alignment horizontal="center" vertical="center"/>
      <protection hidden="1"/>
    </xf>
    <xf numFmtId="172" fontId="10" fillId="0" borderId="0" xfId="163" applyNumberFormat="1" applyFont="1" applyAlignment="1">
      <alignment horizontal="center"/>
    </xf>
    <xf numFmtId="172" fontId="10" fillId="0" borderId="0" xfId="165" applyNumberFormat="1" applyFont="1" applyAlignment="1">
      <alignment horizontal="center"/>
    </xf>
    <xf numFmtId="172" fontId="5" fillId="0" borderId="0" xfId="165" applyNumberFormat="1"/>
    <xf numFmtId="0" fontId="5" fillId="0" borderId="0" xfId="0" applyFont="1"/>
    <xf numFmtId="0" fontId="5" fillId="0" borderId="0" xfId="0" applyFont="1" applyAlignment="1">
      <alignment horizontal="left" vertical="center"/>
    </xf>
    <xf numFmtId="172" fontId="7" fillId="0" borderId="3" xfId="162" applyNumberFormat="1" applyFont="1" applyBorder="1" applyAlignment="1">
      <alignment horizontal="center" shrinkToFit="1"/>
    </xf>
    <xf numFmtId="172" fontId="7" fillId="0" borderId="3" xfId="162" applyNumberFormat="1" applyFont="1" applyBorder="1" applyAlignment="1" applyProtection="1">
      <alignment horizontal="center" shrinkToFit="1"/>
      <protection locked="0"/>
    </xf>
    <xf numFmtId="0" fontId="175" fillId="0" borderId="0" xfId="0" applyFont="1" applyAlignment="1">
      <alignment horizontal="left" vertical="top"/>
    </xf>
    <xf numFmtId="0" fontId="176" fillId="0" borderId="23" xfId="0" applyFont="1" applyBorder="1" applyAlignment="1" applyProtection="1">
      <alignment horizontal="left" vertical="top"/>
      <protection locked="0"/>
    </xf>
    <xf numFmtId="0" fontId="176" fillId="0" borderId="3" xfId="0" applyFont="1" applyBorder="1" applyAlignment="1" applyProtection="1">
      <alignment horizontal="left" vertical="top"/>
      <protection locked="0"/>
    </xf>
    <xf numFmtId="0" fontId="176" fillId="0" borderId="29" xfId="0" applyFont="1" applyBorder="1" applyAlignment="1" applyProtection="1">
      <alignment horizontal="left" vertical="top"/>
      <protection locked="0"/>
    </xf>
    <xf numFmtId="0" fontId="172" fillId="0" borderId="0" xfId="0" applyFont="1" applyAlignment="1">
      <alignment horizontal="left" vertical="top"/>
    </xf>
    <xf numFmtId="0" fontId="176" fillId="0" borderId="30" xfId="0" applyFont="1" applyBorder="1" applyAlignment="1" applyProtection="1">
      <alignment horizontal="left" vertical="top"/>
      <protection locked="0"/>
    </xf>
    <xf numFmtId="0" fontId="176" fillId="0" borderId="14" xfId="0" applyFont="1" applyBorder="1" applyAlignment="1" applyProtection="1">
      <alignment horizontal="left" vertical="top"/>
      <protection locked="0"/>
    </xf>
    <xf numFmtId="0" fontId="176" fillId="0" borderId="20" xfId="0" applyFont="1" applyBorder="1" applyAlignment="1" applyProtection="1">
      <alignment horizontal="left" vertical="top"/>
      <protection locked="0"/>
    </xf>
    <xf numFmtId="0" fontId="176" fillId="0" borderId="31" xfId="0" applyFont="1" applyBorder="1" applyAlignment="1" applyProtection="1">
      <alignment horizontal="left" vertical="top"/>
      <protection locked="0"/>
    </xf>
    <xf numFmtId="0" fontId="176" fillId="0" borderId="0" xfId="0" applyFont="1" applyAlignment="1" applyProtection="1">
      <alignment horizontal="left" vertical="top"/>
      <protection locked="0"/>
    </xf>
    <xf numFmtId="0" fontId="176" fillId="0" borderId="32" xfId="0" applyFont="1" applyBorder="1" applyAlignment="1" applyProtection="1">
      <alignment horizontal="left" vertical="top"/>
      <protection locked="0"/>
    </xf>
    <xf numFmtId="0" fontId="177" fillId="0" borderId="0" xfId="0" applyFont="1" applyAlignment="1">
      <alignment horizontal="left" vertical="top"/>
    </xf>
    <xf numFmtId="0" fontId="176" fillId="0" borderId="17" xfId="0" applyFont="1" applyBorder="1" applyAlignment="1" applyProtection="1">
      <alignment horizontal="left" vertical="top" wrapText="1"/>
      <protection locked="0"/>
    </xf>
    <xf numFmtId="0" fontId="176" fillId="0" borderId="11" xfId="0" applyFont="1" applyBorder="1" applyAlignment="1" applyProtection="1">
      <alignment horizontal="left" vertical="top" wrapText="1"/>
      <protection locked="0"/>
    </xf>
    <xf numFmtId="0" fontId="176" fillId="0" borderId="18" xfId="0" applyFont="1" applyBorder="1" applyAlignment="1" applyProtection="1">
      <alignment horizontal="left" vertical="top" wrapText="1"/>
      <protection locked="0"/>
    </xf>
    <xf numFmtId="0" fontId="2" fillId="0" borderId="0" xfId="0" applyFont="1" applyAlignment="1">
      <alignment vertical="top"/>
    </xf>
    <xf numFmtId="0" fontId="0" fillId="0" borderId="0" xfId="0"/>
    <xf numFmtId="0" fontId="5" fillId="0" borderId="0" xfId="0" applyFont="1" applyAlignment="1">
      <alignment vertical="top"/>
    </xf>
    <xf numFmtId="0" fontId="18" fillId="0" borderId="0" xfId="0" applyFont="1" applyAlignment="1">
      <alignment vertical="top"/>
    </xf>
    <xf numFmtId="0" fontId="18" fillId="0" borderId="0" xfId="0" applyFont="1"/>
    <xf numFmtId="0" fontId="3" fillId="0" borderId="0" xfId="176" applyFont="1"/>
    <xf numFmtId="0" fontId="5" fillId="0" borderId="0" xfId="0" applyFont="1" applyAlignment="1">
      <alignment horizontal="center" vertical="top" wrapText="1"/>
    </xf>
    <xf numFmtId="0" fontId="2" fillId="0" borderId="0" xfId="0" applyFont="1" applyAlignment="1">
      <alignment vertical="center"/>
    </xf>
    <xf numFmtId="0" fontId="5" fillId="0" borderId="0" xfId="0" applyFont="1" applyAlignment="1">
      <alignment vertical="center"/>
    </xf>
    <xf numFmtId="0" fontId="177" fillId="0" borderId="0" xfId="0" applyFont="1" applyAlignment="1">
      <alignment horizontal="left" vertical="center"/>
    </xf>
    <xf numFmtId="0" fontId="178" fillId="0" borderId="30" xfId="0" applyFont="1" applyBorder="1" applyAlignment="1" applyProtection="1">
      <alignment horizontal="left" vertical="top"/>
      <protection locked="0"/>
    </xf>
    <xf numFmtId="0" fontId="178" fillId="0" borderId="14" xfId="0" applyFont="1" applyBorder="1" applyAlignment="1" applyProtection="1">
      <alignment horizontal="left" vertical="top"/>
      <protection locked="0"/>
    </xf>
    <xf numFmtId="0" fontId="178" fillId="0" borderId="20" xfId="0" applyFont="1" applyBorder="1" applyAlignment="1" applyProtection="1">
      <alignment horizontal="left" vertical="top"/>
      <protection locked="0"/>
    </xf>
    <xf numFmtId="0" fontId="179" fillId="0" borderId="30" xfId="0" applyFont="1" applyBorder="1" applyAlignment="1" applyProtection="1">
      <alignment horizontal="left" vertical="top"/>
      <protection locked="0"/>
    </xf>
    <xf numFmtId="0" fontId="179" fillId="0" borderId="14" xfId="0" applyFont="1" applyBorder="1" applyAlignment="1" applyProtection="1">
      <alignment horizontal="left" vertical="top"/>
      <protection locked="0"/>
    </xf>
    <xf numFmtId="0" fontId="179" fillId="0" borderId="20" xfId="0" applyFont="1" applyBorder="1" applyAlignment="1" applyProtection="1">
      <alignment horizontal="left" vertical="top"/>
      <protection locked="0"/>
    </xf>
    <xf numFmtId="0" fontId="180" fillId="0" borderId="0" xfId="0" applyFont="1" applyAlignment="1">
      <alignment horizontal="left" vertical="center"/>
    </xf>
    <xf numFmtId="0" fontId="181" fillId="0" borderId="23" xfId="0" applyFont="1" applyBorder="1" applyAlignment="1" applyProtection="1">
      <alignment horizontal="left" vertical="top"/>
      <protection locked="0"/>
    </xf>
    <xf numFmtId="0" fontId="181" fillId="0" borderId="3" xfId="0" applyFont="1" applyBorder="1" applyAlignment="1" applyProtection="1">
      <alignment horizontal="left" vertical="top"/>
      <protection locked="0"/>
    </xf>
    <xf numFmtId="0" fontId="181" fillId="0" borderId="29" xfId="0" applyFont="1" applyBorder="1" applyAlignment="1" applyProtection="1">
      <alignment horizontal="left" vertical="top"/>
      <protection locked="0"/>
    </xf>
    <xf numFmtId="0" fontId="178" fillId="0" borderId="23" xfId="0" applyFont="1" applyBorder="1" applyAlignment="1" applyProtection="1">
      <alignment horizontal="left" vertical="top"/>
      <protection locked="0"/>
    </xf>
    <xf numFmtId="0" fontId="178" fillId="0" borderId="3" xfId="0" applyFont="1" applyBorder="1" applyAlignment="1" applyProtection="1">
      <alignment horizontal="left" vertical="top"/>
      <protection locked="0"/>
    </xf>
    <xf numFmtId="0" fontId="178" fillId="0" borderId="29" xfId="0" applyFont="1" applyBorder="1" applyAlignment="1" applyProtection="1">
      <alignment horizontal="left" vertical="top"/>
      <protection locked="0"/>
    </xf>
    <xf numFmtId="0" fontId="177" fillId="0" borderId="0" xfId="0" applyFont="1" applyAlignment="1" applyProtection="1">
      <alignment horizontal="left" vertical="center"/>
      <protection locked="0"/>
    </xf>
    <xf numFmtId="0" fontId="176" fillId="0" borderId="0" xfId="0" applyFont="1" applyBorder="1" applyAlignment="1" applyProtection="1">
      <alignment horizontal="left" vertical="top"/>
      <protection locked="0"/>
    </xf>
    <xf numFmtId="0" fontId="172" fillId="0" borderId="11" xfId="0" applyFont="1" applyBorder="1" applyAlignment="1">
      <alignment horizontal="left" vertical="top"/>
    </xf>
    <xf numFmtId="0" fontId="175" fillId="0" borderId="0" xfId="0" applyFont="1" applyAlignment="1">
      <alignment horizontal="left" vertical="top" wrapText="1"/>
    </xf>
    <xf numFmtId="0" fontId="0" fillId="0" borderId="0" xfId="0" applyAlignment="1">
      <alignment vertical="center"/>
    </xf>
    <xf numFmtId="0" fontId="166" fillId="69" borderId="17" xfId="0" applyFont="1" applyFill="1" applyBorder="1" applyAlignment="1">
      <alignment horizontal="left" vertical="center"/>
    </xf>
    <xf numFmtId="0" fontId="166" fillId="69" borderId="11" xfId="0" applyFont="1" applyFill="1" applyBorder="1" applyAlignment="1">
      <alignment horizontal="left" vertical="center"/>
    </xf>
    <xf numFmtId="0" fontId="166" fillId="69" borderId="18" xfId="0" applyFont="1" applyFill="1" applyBorder="1" applyAlignment="1">
      <alignment horizontal="left" vertical="center"/>
    </xf>
    <xf numFmtId="0" fontId="3" fillId="0" borderId="0" xfId="176" applyFont="1" applyAlignment="1">
      <alignment horizontal="left"/>
    </xf>
    <xf numFmtId="172" fontId="7" fillId="0" borderId="3" xfId="163" applyNumberFormat="1" applyFont="1" applyBorder="1" applyAlignment="1">
      <alignment horizontal="center" shrinkToFit="1"/>
    </xf>
    <xf numFmtId="172" fontId="7" fillId="0" borderId="3" xfId="163" applyNumberFormat="1" applyFont="1" applyBorder="1" applyAlignment="1" applyProtection="1">
      <alignment horizontal="center" shrinkToFit="1"/>
      <protection locked="0"/>
    </xf>
    <xf numFmtId="172" fontId="119" fillId="0" borderId="0" xfId="165" applyNumberFormat="1" applyFont="1" applyAlignment="1">
      <alignment horizontal="center"/>
    </xf>
    <xf numFmtId="0" fontId="184" fillId="0" borderId="0" xfId="90" applyFont="1" applyAlignment="1" applyProtection="1">
      <alignment vertical="center"/>
    </xf>
    <xf numFmtId="170" fontId="2" fillId="0" borderId="3" xfId="176" applyNumberFormat="1" applyFont="1" applyBorder="1" applyAlignment="1" applyProtection="1">
      <alignment horizontal="center"/>
      <protection locked="0"/>
    </xf>
    <xf numFmtId="0" fontId="126" fillId="0" borderId="0" xfId="176" applyFont="1" applyAlignment="1">
      <alignment horizontal="center" vertical="center"/>
    </xf>
    <xf numFmtId="172" fontId="119" fillId="0" borderId="0" xfId="162" applyNumberFormat="1" applyFont="1" applyAlignment="1">
      <alignment horizontal="center"/>
    </xf>
    <xf numFmtId="172" fontId="10" fillId="0" borderId="0" xfId="164" applyNumberFormat="1" applyFont="1" applyAlignment="1">
      <alignment horizontal="center"/>
    </xf>
    <xf numFmtId="172" fontId="2" fillId="0" borderId="0" xfId="164" applyNumberFormat="1"/>
    <xf numFmtId="0" fontId="2" fillId="0" borderId="0" xfId="0" applyFont="1"/>
    <xf numFmtId="170" fontId="2" fillId="0" borderId="0" xfId="176" applyNumberFormat="1" applyFont="1" applyAlignment="1">
      <alignment horizontal="center"/>
    </xf>
    <xf numFmtId="0" fontId="11" fillId="0" borderId="0" xfId="90" applyFont="1" applyAlignment="1" applyProtection="1">
      <alignment horizontal="left"/>
    </xf>
    <xf numFmtId="0" fontId="17" fillId="0" borderId="0" xfId="90" applyAlignment="1" applyProtection="1">
      <alignment vertical="center"/>
    </xf>
    <xf numFmtId="0" fontId="17" fillId="0" borderId="0" xfId="90" applyAlignment="1" applyProtection="1"/>
    <xf numFmtId="172" fontId="5" fillId="0" borderId="0" xfId="165" applyNumberFormat="1" applyAlignment="1">
      <alignment horizontal="right"/>
    </xf>
    <xf numFmtId="172" fontId="119" fillId="0" borderId="0" xfId="163" applyNumberFormat="1" applyFont="1" applyAlignment="1">
      <alignment horizontal="center"/>
    </xf>
    <xf numFmtId="0" fontId="3" fillId="63" borderId="0" xfId="135" applyFont="1" applyFill="1"/>
    <xf numFmtId="0" fontId="5" fillId="0" borderId="0" xfId="0" applyFont="1" applyAlignment="1">
      <alignment horizontal="right"/>
    </xf>
    <xf numFmtId="0" fontId="2" fillId="0" borderId="3"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2" fillId="0" borderId="3" xfId="0" applyFont="1" applyBorder="1" applyProtection="1">
      <protection locked="0"/>
    </xf>
    <xf numFmtId="0" fontId="5" fillId="0" borderId="3" xfId="0" applyFont="1" applyBorder="1" applyProtection="1">
      <protection locked="0"/>
    </xf>
    <xf numFmtId="173" fontId="5" fillId="0" borderId="3" xfId="0" applyNumberFormat="1" applyFont="1" applyBorder="1" applyProtection="1">
      <protection locked="0"/>
    </xf>
    <xf numFmtId="0" fontId="31" fillId="0" borderId="0" xfId="176" applyFont="1" applyAlignment="1">
      <alignment horizontal="center" vertical="center"/>
    </xf>
    <xf numFmtId="172" fontId="5" fillId="0" borderId="0" xfId="0" applyNumberFormat="1" applyFont="1" applyAlignment="1">
      <alignment horizontal="center"/>
    </xf>
    <xf numFmtId="172" fontId="5" fillId="0" borderId="3" xfId="0" applyNumberFormat="1" applyFont="1" applyBorder="1" applyAlignment="1">
      <alignment horizontal="center"/>
    </xf>
    <xf numFmtId="0" fontId="2" fillId="0" borderId="11" xfId="0" applyFont="1" applyBorder="1" applyProtection="1">
      <protection locked="0"/>
    </xf>
    <xf numFmtId="0" fontId="5" fillId="0" borderId="11" xfId="0" applyFont="1" applyBorder="1" applyProtection="1">
      <protection locked="0"/>
    </xf>
    <xf numFmtId="0" fontId="3" fillId="63" borderId="14" xfId="135" applyFont="1" applyFill="1" applyBorder="1"/>
    <xf numFmtId="0" fontId="0" fillId="0" borderId="14" xfId="0" applyBorder="1"/>
    <xf numFmtId="0" fontId="2" fillId="0" borderId="11"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2" fillId="0" borderId="3" xfId="0" applyFont="1" applyBorder="1" applyAlignment="1" applyProtection="1">
      <alignment horizontal="left"/>
      <protection locked="0"/>
    </xf>
    <xf numFmtId="0" fontId="5" fillId="0" borderId="3" xfId="0" applyFont="1" applyBorder="1" applyAlignment="1" applyProtection="1">
      <alignment horizontal="left"/>
      <protection locked="0"/>
    </xf>
    <xf numFmtId="0" fontId="134" fillId="0" borderId="0" xfId="0" applyFont="1" applyAlignment="1">
      <alignment horizontal="center"/>
    </xf>
    <xf numFmtId="0" fontId="4" fillId="0" borderId="0" xfId="0" applyFont="1" applyAlignment="1">
      <alignment horizontal="center"/>
    </xf>
    <xf numFmtId="0" fontId="0" fillId="0" borderId="0" xfId="0" applyAlignment="1"/>
    <xf numFmtId="0" fontId="0" fillId="0" borderId="3" xfId="0" applyBorder="1" applyAlignment="1"/>
    <xf numFmtId="172" fontId="7" fillId="0" borderId="11" xfId="162" applyNumberFormat="1" applyFont="1" applyBorder="1" applyAlignment="1">
      <alignment horizontal="center" shrinkToFit="1"/>
    </xf>
    <xf numFmtId="0" fontId="0" fillId="0" borderId="11" xfId="0" applyBorder="1" applyAlignment="1"/>
    <xf numFmtId="0" fontId="2" fillId="0" borderId="0" xfId="0" applyFont="1" applyAlignment="1">
      <alignment horizontal="left"/>
    </xf>
    <xf numFmtId="0" fontId="2" fillId="0" borderId="0" xfId="0" applyFont="1" applyAlignment="1">
      <alignment horizontal="left" indent="1"/>
    </xf>
    <xf numFmtId="0" fontId="2" fillId="0" borderId="0" xfId="155" applyFont="1" applyAlignment="1" applyProtection="1">
      <alignment horizontal="left"/>
      <protection locked="0"/>
    </xf>
    <xf numFmtId="172" fontId="2" fillId="0" borderId="0" xfId="0" applyNumberFormat="1" applyFont="1" applyAlignment="1">
      <alignment horizontal="center"/>
    </xf>
    <xf numFmtId="0" fontId="3" fillId="0" borderId="0" xfId="0" applyFont="1" applyAlignment="1">
      <alignment horizontal="left"/>
    </xf>
    <xf numFmtId="0" fontId="3" fillId="0" borderId="0" xfId="0" applyFont="1"/>
    <xf numFmtId="172" fontId="2" fillId="0" borderId="3" xfId="0" applyNumberFormat="1" applyFont="1" applyBorder="1" applyAlignment="1">
      <alignment horizontal="center"/>
    </xf>
    <xf numFmtId="172" fontId="2" fillId="0" borderId="11" xfId="162" applyNumberFormat="1" applyFont="1" applyBorder="1" applyAlignment="1" applyProtection="1">
      <alignment horizontal="center" shrinkToFit="1"/>
      <protection locked="0"/>
    </xf>
    <xf numFmtId="0" fontId="2" fillId="0" borderId="0" xfId="135" applyFont="1" applyProtection="1"/>
    <xf numFmtId="0" fontId="2" fillId="0" borderId="0" xfId="135" applyFont="1" applyProtection="1">
      <protection locked="0"/>
    </xf>
    <xf numFmtId="0" fontId="3" fillId="0" borderId="0" xfId="160" applyFont="1" applyAlignment="1">
      <alignment wrapText="1"/>
    </xf>
    <xf numFmtId="0" fontId="3" fillId="0" borderId="0" xfId="135" applyFont="1"/>
    <xf numFmtId="0" fontId="3" fillId="0" borderId="32" xfId="135" applyFont="1" applyBorder="1"/>
    <xf numFmtId="0" fontId="2" fillId="0" borderId="0" xfId="160" applyFont="1" applyAlignment="1" applyProtection="1">
      <alignment horizontal="center" shrinkToFit="1"/>
      <protection locked="0"/>
    </xf>
    <xf numFmtId="0" fontId="79" fillId="0" borderId="0" xfId="135" applyFont="1" applyAlignment="1">
      <alignment horizontal="right"/>
    </xf>
    <xf numFmtId="0" fontId="2" fillId="0" borderId="11" xfId="160" applyFont="1" applyBorder="1" applyAlignment="1" applyProtection="1">
      <alignment horizontal="center" shrinkToFit="1"/>
      <protection locked="0"/>
    </xf>
    <xf numFmtId="0" fontId="28" fillId="0" borderId="11" xfId="160" applyBorder="1" applyAlignment="1">
      <alignment horizontal="center"/>
    </xf>
    <xf numFmtId="0" fontId="191" fillId="0" borderId="0" xfId="135" applyFont="1" applyAlignment="1">
      <alignment horizontal="right"/>
    </xf>
    <xf numFmtId="0" fontId="2" fillId="0" borderId="0" xfId="135" applyFont="1" applyAlignment="1">
      <alignment wrapText="1"/>
    </xf>
    <xf numFmtId="0" fontId="2" fillId="0" borderId="32" xfId="135" applyFont="1" applyBorder="1" applyAlignment="1">
      <alignment wrapText="1"/>
    </xf>
    <xf numFmtId="0" fontId="10" fillId="0" borderId="0" xfId="160" applyFont="1" applyAlignment="1">
      <alignment horizontal="center"/>
    </xf>
    <xf numFmtId="0" fontId="2" fillId="0" borderId="3" xfId="160" applyFont="1" applyBorder="1" applyAlignment="1" applyProtection="1">
      <alignment horizontal="center" shrinkToFit="1"/>
      <protection locked="0"/>
    </xf>
    <xf numFmtId="0" fontId="2" fillId="0" borderId="3" xfId="160" applyFont="1" applyBorder="1" applyAlignment="1">
      <alignment horizontal="center"/>
    </xf>
    <xf numFmtId="173" fontId="41" fillId="0" borderId="11" xfId="155" applyNumberFormat="1" applyFont="1" applyBorder="1" applyProtection="1">
      <protection locked="0"/>
    </xf>
    <xf numFmtId="173" fontId="41" fillId="0" borderId="11" xfId="155" applyNumberFormat="1" applyFont="1" applyFill="1" applyBorder="1" applyProtection="1">
      <protection locked="0"/>
    </xf>
    <xf numFmtId="0" fontId="42" fillId="0" borderId="0" xfId="155" applyFont="1" applyAlignment="1">
      <alignment horizontal="center"/>
    </xf>
    <xf numFmtId="0" fontId="41" fillId="0" borderId="11" xfId="155" applyFont="1" applyBorder="1" applyAlignment="1" applyProtection="1">
      <alignment horizontal="left"/>
    </xf>
    <xf numFmtId="0" fontId="41" fillId="0" borderId="0" xfId="155" applyFont="1" applyAlignment="1">
      <alignment horizontal="center"/>
    </xf>
    <xf numFmtId="172" fontId="119" fillId="0" borderId="0" xfId="0" applyNumberFormat="1" applyFont="1" applyAlignment="1">
      <alignment horizontal="center"/>
    </xf>
    <xf numFmtId="0" fontId="10" fillId="0" borderId="0" xfId="155" applyFont="1" applyAlignment="1">
      <alignment horizontal="center"/>
    </xf>
    <xf numFmtId="0" fontId="5" fillId="0" borderId="0" xfId="156" applyFont="1" applyProtection="1">
      <protection hidden="1"/>
    </xf>
    <xf numFmtId="0" fontId="41" fillId="0" borderId="11" xfId="155" applyFont="1" applyBorder="1" applyAlignment="1" applyProtection="1">
      <alignment horizontal="left"/>
      <protection locked="0"/>
    </xf>
    <xf numFmtId="173" fontId="41" fillId="0" borderId="11" xfId="155" applyNumberFormat="1" applyFont="1" applyBorder="1"/>
    <xf numFmtId="0" fontId="3" fillId="0" borderId="33" xfId="171" applyFont="1" applyBorder="1" applyAlignment="1">
      <alignment horizontal="center"/>
    </xf>
    <xf numFmtId="0" fontId="5" fillId="0" borderId="0" xfId="171" applyFont="1" applyAlignment="1">
      <alignment horizontal="center" shrinkToFit="1"/>
    </xf>
    <xf numFmtId="0" fontId="5" fillId="0" borderId="3" xfId="171" applyFont="1" applyBorder="1" applyAlignment="1">
      <alignment horizontal="center" shrinkToFit="1"/>
    </xf>
    <xf numFmtId="0" fontId="10" fillId="0" borderId="0" xfId="172" applyFont="1" applyAlignment="1">
      <alignment horizontal="center"/>
    </xf>
    <xf numFmtId="0" fontId="11" fillId="0" borderId="0" xfId="172" applyFont="1" applyFill="1" applyAlignment="1">
      <alignment horizontal="left" vertical="top"/>
    </xf>
    <xf numFmtId="0" fontId="3" fillId="0" borderId="7" xfId="171" applyFont="1" applyBorder="1" applyAlignment="1">
      <alignment horizontal="center"/>
    </xf>
    <xf numFmtId="0" fontId="11" fillId="0" borderId="0" xfId="172" applyFont="1"/>
    <xf numFmtId="0" fontId="3" fillId="0" borderId="0" xfId="172" applyFont="1"/>
    <xf numFmtId="0" fontId="8" fillId="63" borderId="11" xfId="161" applyFont="1" applyFill="1" applyBorder="1" applyAlignment="1" applyProtection="1">
      <alignment horizontal="center" shrinkToFit="1"/>
      <protection locked="0"/>
    </xf>
    <xf numFmtId="0" fontId="10" fillId="63" borderId="0" xfId="161" applyFont="1" applyFill="1" applyAlignment="1">
      <alignment horizontal="center"/>
    </xf>
    <xf numFmtId="0" fontId="7" fillId="63" borderId="3" xfId="161" applyFont="1" applyFill="1" applyBorder="1" applyAlignment="1">
      <alignment horizontal="center" shrinkToFit="1"/>
    </xf>
    <xf numFmtId="0" fontId="2" fillId="0" borderId="17" xfId="0" applyFont="1" applyBorder="1" applyAlignment="1">
      <alignment horizontal="center"/>
    </xf>
    <xf numFmtId="0" fontId="2" fillId="0" borderId="11" xfId="0" applyFont="1" applyBorder="1" applyAlignment="1">
      <alignment horizontal="center"/>
    </xf>
    <xf numFmtId="0" fontId="2" fillId="0" borderId="18" xfId="0" applyFont="1" applyBorder="1" applyAlignment="1">
      <alignment horizontal="center"/>
    </xf>
    <xf numFmtId="39" fontId="0" fillId="0" borderId="3" xfId="0" applyNumberFormat="1" applyBorder="1" applyProtection="1">
      <protection locked="0"/>
    </xf>
    <xf numFmtId="39" fontId="2" fillId="0" borderId="3" xfId="0" applyNumberFormat="1" applyFont="1" applyBorder="1" applyProtection="1">
      <protection locked="0"/>
    </xf>
    <xf numFmtId="39" fontId="2" fillId="0" borderId="0" xfId="0" applyNumberFormat="1" applyFont="1" applyProtection="1">
      <protection locked="0"/>
    </xf>
    <xf numFmtId="0" fontId="5" fillId="0" borderId="11" xfId="0" applyFont="1" applyBorder="1"/>
    <xf numFmtId="0" fontId="3" fillId="0" borderId="11" xfId="0" applyFont="1" applyBorder="1" applyProtection="1">
      <protection locked="0"/>
    </xf>
    <xf numFmtId="0" fontId="2" fillId="0" borderId="3" xfId="231" applyBorder="1"/>
    <xf numFmtId="173" fontId="2" fillId="0" borderId="0" xfId="0" applyNumberFormat="1" applyFont="1"/>
    <xf numFmtId="0" fontId="10" fillId="0" borderId="0" xfId="176" applyFont="1" applyAlignment="1">
      <alignment horizontal="center" vertical="center"/>
    </xf>
    <xf numFmtId="0" fontId="10" fillId="0" borderId="0" xfId="159" applyFont="1" applyAlignment="1">
      <alignment horizontal="center"/>
    </xf>
    <xf numFmtId="0" fontId="126" fillId="64" borderId="0" xfId="176" applyFont="1" applyFill="1"/>
    <xf numFmtId="0" fontId="5" fillId="64" borderId="0" xfId="0" applyFont="1" applyFill="1"/>
    <xf numFmtId="172" fontId="28" fillId="0" borderId="19" xfId="169" applyNumberFormat="1" applyFont="1" applyBorder="1" applyAlignment="1" applyProtection="1">
      <alignment horizontal="center" wrapText="1"/>
      <protection locked="0"/>
    </xf>
    <xf numFmtId="172" fontId="33" fillId="0" borderId="21" xfId="169" applyNumberFormat="1" applyFont="1" applyBorder="1" applyAlignment="1" applyProtection="1">
      <alignment horizontal="center" wrapText="1"/>
      <protection locked="0"/>
    </xf>
    <xf numFmtId="172" fontId="33" fillId="0" borderId="22" xfId="169" applyNumberFormat="1" applyFont="1" applyBorder="1" applyAlignment="1" applyProtection="1">
      <alignment horizontal="center" wrapText="1"/>
      <protection locked="0"/>
    </xf>
    <xf numFmtId="172" fontId="5" fillId="0" borderId="0" xfId="169" applyNumberFormat="1" applyFont="1" applyAlignment="1">
      <alignment horizontal="center"/>
    </xf>
    <xf numFmtId="172" fontId="33" fillId="0" borderId="17" xfId="169" applyNumberFormat="1" applyFont="1" applyBorder="1" applyAlignment="1">
      <alignment horizontal="center"/>
    </xf>
    <xf numFmtId="172" fontId="33" fillId="0" borderId="11" xfId="169" applyNumberFormat="1" applyFont="1" applyBorder="1" applyAlignment="1">
      <alignment horizontal="center"/>
    </xf>
    <xf numFmtId="172" fontId="33" fillId="0" borderId="18" xfId="169" applyNumberFormat="1" applyFont="1" applyBorder="1" applyAlignment="1">
      <alignment horizontal="center"/>
    </xf>
    <xf numFmtId="172" fontId="15" fillId="0" borderId="0" xfId="169" applyNumberFormat="1" applyFont="1" applyAlignment="1">
      <alignment horizontal="center"/>
    </xf>
    <xf numFmtId="0" fontId="10" fillId="0" borderId="0" xfId="173" applyFont="1" applyAlignment="1">
      <alignment horizontal="center"/>
    </xf>
    <xf numFmtId="0" fontId="5" fillId="0" borderId="11" xfId="174" applyFont="1" applyBorder="1" applyAlignment="1">
      <alignment horizontal="center" shrinkToFit="1"/>
    </xf>
    <xf numFmtId="0" fontId="28" fillId="0" borderId="11" xfId="168" applyFont="1" applyBorder="1" applyAlignment="1" applyProtection="1">
      <alignment horizontal="left" wrapText="1"/>
      <protection locked="0"/>
    </xf>
    <xf numFmtId="0" fontId="10" fillId="0" borderId="0" xfId="174" applyFont="1" applyAlignment="1">
      <alignment horizontal="center"/>
    </xf>
    <xf numFmtId="0" fontId="3" fillId="0" borderId="3" xfId="174" applyFont="1" applyBorder="1" applyAlignment="1">
      <alignment horizontal="center"/>
    </xf>
    <xf numFmtId="172" fontId="4" fillId="0" borderId="3" xfId="162" applyNumberFormat="1" applyFont="1" applyBorder="1" applyAlignment="1">
      <alignment horizontal="center" shrinkToFit="1"/>
    </xf>
    <xf numFmtId="0" fontId="5" fillId="0" borderId="3" xfId="174" applyFont="1" applyBorder="1" applyAlignment="1">
      <alignment horizontal="center" shrinkToFit="1"/>
    </xf>
    <xf numFmtId="0" fontId="33" fillId="0" borderId="11" xfId="174" applyBorder="1" applyAlignment="1" applyProtection="1">
      <alignment wrapText="1"/>
      <protection locked="0"/>
    </xf>
    <xf numFmtId="0" fontId="4" fillId="0" borderId="11" xfId="158" applyFont="1" applyBorder="1" applyProtection="1">
      <protection locked="0"/>
    </xf>
    <xf numFmtId="0" fontId="4" fillId="0" borderId="14" xfId="158" applyFont="1" applyBorder="1" applyProtection="1">
      <protection locked="0"/>
    </xf>
    <xf numFmtId="0" fontId="10" fillId="0" borderId="0" xfId="158" applyFont="1" applyAlignment="1" applyProtection="1">
      <alignment horizontal="left"/>
    </xf>
    <xf numFmtId="0" fontId="3" fillId="0" borderId="0" xfId="0" applyFont="1" applyProtection="1"/>
    <xf numFmtId="42" fontId="4" fillId="0" borderId="11" xfId="158" applyNumberFormat="1" applyFont="1" applyBorder="1" applyProtection="1">
      <protection locked="0"/>
    </xf>
    <xf numFmtId="42" fontId="0" fillId="0" borderId="11" xfId="0" applyNumberFormat="1" applyBorder="1"/>
    <xf numFmtId="0" fontId="10" fillId="0" borderId="3" xfId="158" applyFont="1" applyBorder="1" applyAlignment="1">
      <alignment horizontal="center"/>
    </xf>
    <xf numFmtId="0" fontId="10" fillId="0" borderId="0" xfId="158" applyFont="1" applyAlignment="1">
      <alignment horizontal="center"/>
    </xf>
    <xf numFmtId="41" fontId="4" fillId="0" borderId="3" xfId="158" applyNumberFormat="1" applyFont="1" applyBorder="1" applyProtection="1">
      <protection locked="0"/>
    </xf>
    <xf numFmtId="41" fontId="0" fillId="0" borderId="3" xfId="0" applyNumberFormat="1" applyBorder="1"/>
    <xf numFmtId="49" fontId="11" fillId="0" borderId="0" xfId="178" applyNumberFormat="1" applyFont="1"/>
    <xf numFmtId="49" fontId="2" fillId="0" borderId="0" xfId="178" applyNumberFormat="1"/>
    <xf numFmtId="49" fontId="5" fillId="0" borderId="0" xfId="158" applyNumberFormat="1" applyFont="1" applyAlignment="1">
      <alignment horizontal="left"/>
    </xf>
    <xf numFmtId="0" fontId="2" fillId="0" borderId="11" xfId="158" applyFont="1" applyBorder="1" applyAlignment="1" applyProtection="1">
      <alignment horizontal="left"/>
      <protection locked="0"/>
    </xf>
    <xf numFmtId="0" fontId="2" fillId="0" borderId="3" xfId="158" applyFont="1" applyBorder="1" applyAlignment="1" applyProtection="1">
      <alignment horizontal="left"/>
      <protection locked="0"/>
    </xf>
    <xf numFmtId="167" fontId="158" fillId="65" borderId="0" xfId="0" applyNumberFormat="1" applyFont="1" applyFill="1"/>
    <xf numFmtId="0" fontId="11" fillId="0" borderId="0" xfId="171" applyFont="1" applyAlignment="1">
      <alignment horizontal="right" shrinkToFit="1"/>
    </xf>
    <xf numFmtId="0" fontId="3" fillId="0" borderId="0" xfId="171" applyFont="1" applyAlignment="1">
      <alignment horizontal="right" shrinkToFit="1"/>
    </xf>
    <xf numFmtId="167" fontId="8" fillId="67" borderId="0" xfId="0" applyNumberFormat="1" applyFont="1" applyFill="1"/>
    <xf numFmtId="167" fontId="12" fillId="67" borderId="0" xfId="0" applyNumberFormat="1" applyFont="1" applyFill="1"/>
    <xf numFmtId="167" fontId="12" fillId="63" borderId="0" xfId="0" applyNumberFormat="1" applyFont="1" applyFill="1"/>
    <xf numFmtId="167" fontId="8" fillId="68" borderId="0" xfId="0" applyNumberFormat="1" applyFont="1" applyFill="1"/>
    <xf numFmtId="167" fontId="12" fillId="68" borderId="0" xfId="0" applyNumberFormat="1" applyFont="1" applyFill="1"/>
    <xf numFmtId="0" fontId="3" fillId="0" borderId="0" xfId="0" applyFont="1" applyAlignment="1">
      <alignment horizontal="center" wrapText="1"/>
    </xf>
    <xf numFmtId="0" fontId="3" fillId="65" borderId="17" xfId="171" applyFont="1" applyFill="1" applyBorder="1" applyAlignment="1">
      <alignment horizontal="center" shrinkToFit="1"/>
    </xf>
    <xf numFmtId="0" fontId="3" fillId="65" borderId="11" xfId="171" applyFont="1" applyFill="1" applyBorder="1" applyAlignment="1">
      <alignment horizontal="center" shrinkToFit="1"/>
    </xf>
    <xf numFmtId="0" fontId="3" fillId="65" borderId="18" xfId="171" applyFont="1" applyFill="1" applyBorder="1" applyAlignment="1">
      <alignment horizontal="center" shrinkToFit="1"/>
    </xf>
    <xf numFmtId="0" fontId="182" fillId="70" borderId="0" xfId="0" applyFont="1" applyFill="1" applyAlignment="1">
      <alignment horizontal="center"/>
    </xf>
    <xf numFmtId="0" fontId="3" fillId="72" borderId="43" xfId="0" applyFont="1" applyFill="1" applyBorder="1" applyAlignment="1">
      <alignment horizontal="center"/>
    </xf>
    <xf numFmtId="0" fontId="3" fillId="72" borderId="0" xfId="0" applyFont="1" applyFill="1" applyAlignment="1">
      <alignment horizontal="center"/>
    </xf>
    <xf numFmtId="0" fontId="3" fillId="71" borderId="0" xfId="0" applyFont="1" applyFill="1" applyAlignment="1">
      <alignment horizontal="center"/>
    </xf>
  </cellXfs>
  <cellStyles count="243">
    <cellStyle name="20% - Accent1" xfId="1" builtinId="30" customBuiltin="1"/>
    <cellStyle name="20% - Accent1 2" xfId="2" xr:uid="{00000000-0005-0000-0000-000001000000}"/>
    <cellStyle name="20% - Accent1 3" xfId="209" xr:uid="{00000000-0005-0000-0000-000002000000}"/>
    <cellStyle name="20% - Accent2" xfId="3" builtinId="34" customBuiltin="1"/>
    <cellStyle name="20% - Accent2 2" xfId="4" xr:uid="{00000000-0005-0000-0000-000004000000}"/>
    <cellStyle name="20% - Accent2 3" xfId="210" xr:uid="{00000000-0005-0000-0000-000005000000}"/>
    <cellStyle name="20% - Accent3" xfId="5" builtinId="38" customBuiltin="1"/>
    <cellStyle name="20% - Accent3 2" xfId="6" xr:uid="{00000000-0005-0000-0000-000007000000}"/>
    <cellStyle name="20% - Accent3 3" xfId="211" xr:uid="{00000000-0005-0000-0000-000008000000}"/>
    <cellStyle name="20% - Accent4" xfId="7" builtinId="42" customBuiltin="1"/>
    <cellStyle name="20% - Accent4 2" xfId="8" xr:uid="{00000000-0005-0000-0000-00000A000000}"/>
    <cellStyle name="20% - Accent4 3" xfId="212" xr:uid="{00000000-0005-0000-0000-00000B000000}"/>
    <cellStyle name="20% - Accent5" xfId="9" builtinId="46" customBuiltin="1"/>
    <cellStyle name="20% - Accent5 2" xfId="10" xr:uid="{00000000-0005-0000-0000-00000D000000}"/>
    <cellStyle name="20% - Accent5 3" xfId="213" xr:uid="{00000000-0005-0000-0000-00000E000000}"/>
    <cellStyle name="20% - Accent6" xfId="11" builtinId="50" customBuiltin="1"/>
    <cellStyle name="20% - Accent6 2" xfId="12" xr:uid="{00000000-0005-0000-0000-000010000000}"/>
    <cellStyle name="20% - Accent6 3" xfId="214" xr:uid="{00000000-0005-0000-0000-000011000000}"/>
    <cellStyle name="40% - Accent1" xfId="13" builtinId="31" customBuiltin="1"/>
    <cellStyle name="40% - Accent1 2" xfId="14" xr:uid="{00000000-0005-0000-0000-000013000000}"/>
    <cellStyle name="40% - Accent1 3" xfId="215" xr:uid="{00000000-0005-0000-0000-000014000000}"/>
    <cellStyle name="40% - Accent2" xfId="15" builtinId="35" customBuiltin="1"/>
    <cellStyle name="40% - Accent2 2" xfId="16" xr:uid="{00000000-0005-0000-0000-000016000000}"/>
    <cellStyle name="40% - Accent2 3" xfId="216" xr:uid="{00000000-0005-0000-0000-000017000000}"/>
    <cellStyle name="40% - Accent3" xfId="17" builtinId="39" customBuiltin="1"/>
    <cellStyle name="40% - Accent3 2" xfId="18" xr:uid="{00000000-0005-0000-0000-000019000000}"/>
    <cellStyle name="40% - Accent3 3" xfId="217" xr:uid="{00000000-0005-0000-0000-00001A000000}"/>
    <cellStyle name="40% - Accent4" xfId="19" builtinId="43" customBuiltin="1"/>
    <cellStyle name="40% - Accent4 2" xfId="20" xr:uid="{00000000-0005-0000-0000-00001C000000}"/>
    <cellStyle name="40% - Accent4 3" xfId="218" xr:uid="{00000000-0005-0000-0000-00001D000000}"/>
    <cellStyle name="40% - Accent5" xfId="21" builtinId="47" customBuiltin="1"/>
    <cellStyle name="40% - Accent5 2" xfId="22" xr:uid="{00000000-0005-0000-0000-00001F000000}"/>
    <cellStyle name="40% - Accent5 3" xfId="219" xr:uid="{00000000-0005-0000-0000-000020000000}"/>
    <cellStyle name="40% - Accent6" xfId="23" builtinId="51" customBuiltin="1"/>
    <cellStyle name="40% - Accent6 2" xfId="24" xr:uid="{00000000-0005-0000-0000-000022000000}"/>
    <cellStyle name="40% - Accent6 3" xfId="220" xr:uid="{00000000-0005-0000-0000-000023000000}"/>
    <cellStyle name="60% - Accent1" xfId="25" builtinId="32" customBuiltin="1"/>
    <cellStyle name="60% - Accent1 2" xfId="26" xr:uid="{00000000-0005-0000-0000-000025000000}"/>
    <cellStyle name="60% - Accent2" xfId="27" builtinId="36" customBuiltin="1"/>
    <cellStyle name="60% - Accent2 2" xfId="28" xr:uid="{00000000-0005-0000-0000-000027000000}"/>
    <cellStyle name="60% - Accent3" xfId="29" builtinId="40" customBuiltin="1"/>
    <cellStyle name="60% - Accent3 2" xfId="30" xr:uid="{00000000-0005-0000-0000-000029000000}"/>
    <cellStyle name="60% - Accent4" xfId="31" builtinId="44" customBuiltin="1"/>
    <cellStyle name="60% - Accent4 2" xfId="32" xr:uid="{00000000-0005-0000-0000-00002B000000}"/>
    <cellStyle name="60% - Accent5" xfId="33" builtinId="48" customBuiltin="1"/>
    <cellStyle name="60% - Accent5 2" xfId="34" xr:uid="{00000000-0005-0000-0000-00002D000000}"/>
    <cellStyle name="60% - Accent6" xfId="35" builtinId="52" customBuiltin="1"/>
    <cellStyle name="60% - Accent6 2" xfId="36" xr:uid="{00000000-0005-0000-0000-00002F000000}"/>
    <cellStyle name="Accent1" xfId="37" builtinId="29" customBuiltin="1"/>
    <cellStyle name="Accent1 2" xfId="38" xr:uid="{00000000-0005-0000-0000-000031000000}"/>
    <cellStyle name="Accent2" xfId="39" builtinId="33" customBuiltin="1"/>
    <cellStyle name="Accent2 2" xfId="40" xr:uid="{00000000-0005-0000-0000-000033000000}"/>
    <cellStyle name="Accent3" xfId="41" builtinId="37" customBuiltin="1"/>
    <cellStyle name="Accent3 2" xfId="42" xr:uid="{00000000-0005-0000-0000-000035000000}"/>
    <cellStyle name="Accent4" xfId="43" builtinId="41" customBuiltin="1"/>
    <cellStyle name="Accent4 2" xfId="44" xr:uid="{00000000-0005-0000-0000-000037000000}"/>
    <cellStyle name="Accent5" xfId="45" builtinId="45" customBuiltin="1"/>
    <cellStyle name="Accent5 2" xfId="46" xr:uid="{00000000-0005-0000-0000-000039000000}"/>
    <cellStyle name="Accent6" xfId="47" builtinId="49" customBuiltin="1"/>
    <cellStyle name="Accent6 2" xfId="48" xr:uid="{00000000-0005-0000-0000-00003B000000}"/>
    <cellStyle name="Bad" xfId="49" builtinId="27" customBuiltin="1"/>
    <cellStyle name="Bad 2" xfId="50" xr:uid="{00000000-0005-0000-0000-00003D000000}"/>
    <cellStyle name="Calculation" xfId="51" builtinId="22" customBuiltin="1"/>
    <cellStyle name="Calculation 2" xfId="52" xr:uid="{00000000-0005-0000-0000-00003F000000}"/>
    <cellStyle name="CaptionDots..." xfId="53" xr:uid="{00000000-0005-0000-0000-000040000000}"/>
    <cellStyle name="Check Cell" xfId="54" builtinId="23" customBuiltin="1"/>
    <cellStyle name="Check Cell 2" xfId="55" xr:uid="{00000000-0005-0000-0000-000042000000}"/>
    <cellStyle name="Comma" xfId="56" builtinId="3"/>
    <cellStyle name="Comma 2" xfId="57" xr:uid="{00000000-0005-0000-0000-000044000000}"/>
    <cellStyle name="Comma 2 2" xfId="58" xr:uid="{00000000-0005-0000-0000-000045000000}"/>
    <cellStyle name="Comma 2 2 2" xfId="222" xr:uid="{00000000-0005-0000-0000-000046000000}"/>
    <cellStyle name="Comma 2 3" xfId="59" xr:uid="{00000000-0005-0000-0000-000047000000}"/>
    <cellStyle name="Comma 2 3 2" xfId="223" xr:uid="{00000000-0005-0000-0000-000048000000}"/>
    <cellStyle name="Comma 2 4" xfId="221" xr:uid="{00000000-0005-0000-0000-000049000000}"/>
    <cellStyle name="Comma 3" xfId="60" xr:uid="{00000000-0005-0000-0000-00004A000000}"/>
    <cellStyle name="Comma 3 2" xfId="61" xr:uid="{00000000-0005-0000-0000-00004B000000}"/>
    <cellStyle name="Comma 3 2 2" xfId="225" xr:uid="{00000000-0005-0000-0000-00004C000000}"/>
    <cellStyle name="Comma 3 3" xfId="224" xr:uid="{00000000-0005-0000-0000-00004D000000}"/>
    <cellStyle name="Comma 4" xfId="62" xr:uid="{00000000-0005-0000-0000-00004E000000}"/>
    <cellStyle name="Comma 7" xfId="63" xr:uid="{00000000-0005-0000-0000-00004F000000}"/>
    <cellStyle name="Comma 7 2" xfId="226" xr:uid="{00000000-0005-0000-0000-000050000000}"/>
    <cellStyle name="Comma 8" xfId="64" xr:uid="{00000000-0005-0000-0000-000051000000}"/>
    <cellStyle name="Comma 8 2" xfId="227" xr:uid="{00000000-0005-0000-0000-000052000000}"/>
    <cellStyle name="Currency" xfId="65" builtinId="4"/>
    <cellStyle name="Currency 2" xfId="66" xr:uid="{00000000-0005-0000-0000-000054000000}"/>
    <cellStyle name="Currency 2 2" xfId="228" xr:uid="{00000000-0005-0000-0000-000055000000}"/>
    <cellStyle name="Currency 3" xfId="67" xr:uid="{00000000-0005-0000-0000-000056000000}"/>
    <cellStyle name="Exhibit No." xfId="68" xr:uid="{00000000-0005-0000-0000-000057000000}"/>
    <cellStyle name="Exhibit No. 2" xfId="69" xr:uid="{00000000-0005-0000-0000-000058000000}"/>
    <cellStyle name="Exhibit No. 3" xfId="70" xr:uid="{00000000-0005-0000-0000-000059000000}"/>
    <cellStyle name="Explanatory Text" xfId="71" builtinId="53" customBuiltin="1"/>
    <cellStyle name="Explanatory Text 2" xfId="72" xr:uid="{00000000-0005-0000-0000-00005B000000}"/>
    <cellStyle name="Good" xfId="73" builtinId="26" customBuiltin="1"/>
    <cellStyle name="Good 2" xfId="74" xr:uid="{00000000-0005-0000-0000-00005D000000}"/>
    <cellStyle name="Heading 1" xfId="75" builtinId="16" customBuiltin="1"/>
    <cellStyle name="Heading 1 2" xfId="76" xr:uid="{00000000-0005-0000-0000-00005F000000}"/>
    <cellStyle name="Heading 2" xfId="77" builtinId="17" customBuiltin="1"/>
    <cellStyle name="Heading 2 2" xfId="78" xr:uid="{00000000-0005-0000-0000-000061000000}"/>
    <cellStyle name="Heading 3" xfId="79" builtinId="18" customBuiltin="1"/>
    <cellStyle name="Heading 3 2" xfId="80" xr:uid="{00000000-0005-0000-0000-000063000000}"/>
    <cellStyle name="Heading 4" xfId="81" builtinId="19" customBuiltin="1"/>
    <cellStyle name="Heading 4 2" xfId="82" xr:uid="{00000000-0005-0000-0000-000065000000}"/>
    <cellStyle name="HeadStateofNC" xfId="83" xr:uid="{00000000-0005-0000-0000-000066000000}"/>
    <cellStyle name="HeadStateofNC 2" xfId="84" xr:uid="{00000000-0005-0000-0000-000067000000}"/>
    <cellStyle name="HeadStateofNC 3" xfId="85" xr:uid="{00000000-0005-0000-0000-000068000000}"/>
    <cellStyle name="HeadTitles" xfId="86" xr:uid="{00000000-0005-0000-0000-000069000000}"/>
    <cellStyle name="HeadTitles 2" xfId="87" xr:uid="{00000000-0005-0000-0000-00006A000000}"/>
    <cellStyle name="HeadTitles 3" xfId="88" xr:uid="{00000000-0005-0000-0000-00006B000000}"/>
    <cellStyle name="HeadYE_Date" xfId="89" xr:uid="{00000000-0005-0000-0000-00006C000000}"/>
    <cellStyle name="Hyperlink" xfId="90" builtinId="8"/>
    <cellStyle name="Hyperlink 2" xfId="91" xr:uid="{00000000-0005-0000-0000-00006E000000}"/>
    <cellStyle name="Hyperlink 2 2" xfId="92" xr:uid="{00000000-0005-0000-0000-00006F000000}"/>
    <cellStyle name="Hyperlink 2 3" xfId="93" xr:uid="{00000000-0005-0000-0000-000070000000}"/>
    <cellStyle name="Hyperlink 3" xfId="94" xr:uid="{00000000-0005-0000-0000-000071000000}"/>
    <cellStyle name="Input" xfId="95" builtinId="20" customBuiltin="1"/>
    <cellStyle name="Input 2" xfId="96" xr:uid="{00000000-0005-0000-0000-000073000000}"/>
    <cellStyle name="Linked Cell" xfId="97" builtinId="24" customBuiltin="1"/>
    <cellStyle name="Linked Cell 2" xfId="98" xr:uid="{00000000-0005-0000-0000-000075000000}"/>
    <cellStyle name="Neutral" xfId="99" builtinId="28" customBuiltin="1"/>
    <cellStyle name="Neutral 2" xfId="100" xr:uid="{00000000-0005-0000-0000-000077000000}"/>
    <cellStyle name="Normal" xfId="0" builtinId="0"/>
    <cellStyle name="Normal 10" xfId="101" xr:uid="{00000000-0005-0000-0000-000079000000}"/>
    <cellStyle name="Normal 10 2" xfId="102" xr:uid="{00000000-0005-0000-0000-00007A000000}"/>
    <cellStyle name="Normal 11" xfId="103" xr:uid="{00000000-0005-0000-0000-00007B000000}"/>
    <cellStyle name="Normal 11 2" xfId="104" xr:uid="{00000000-0005-0000-0000-00007C000000}"/>
    <cellStyle name="Normal 12" xfId="105" xr:uid="{00000000-0005-0000-0000-00007D000000}"/>
    <cellStyle name="Normal 12 2" xfId="106" xr:uid="{00000000-0005-0000-0000-00007E000000}"/>
    <cellStyle name="Normal 13" xfId="107" xr:uid="{00000000-0005-0000-0000-00007F000000}"/>
    <cellStyle name="Normal 13 2" xfId="108" xr:uid="{00000000-0005-0000-0000-000080000000}"/>
    <cellStyle name="Normal 14" xfId="109" xr:uid="{00000000-0005-0000-0000-000081000000}"/>
    <cellStyle name="Normal 14 2" xfId="110" xr:uid="{00000000-0005-0000-0000-000082000000}"/>
    <cellStyle name="Normal 15" xfId="111" xr:uid="{00000000-0005-0000-0000-000083000000}"/>
    <cellStyle name="Normal 15 2" xfId="112" xr:uid="{00000000-0005-0000-0000-000084000000}"/>
    <cellStyle name="Normal 16" xfId="113" xr:uid="{00000000-0005-0000-0000-000085000000}"/>
    <cellStyle name="Normal 16 2" xfId="114" xr:uid="{00000000-0005-0000-0000-000086000000}"/>
    <cellStyle name="Normal 17" xfId="115" xr:uid="{00000000-0005-0000-0000-000087000000}"/>
    <cellStyle name="Normal 17 2" xfId="116" xr:uid="{00000000-0005-0000-0000-000088000000}"/>
    <cellStyle name="Normal 18" xfId="117" xr:uid="{00000000-0005-0000-0000-000089000000}"/>
    <cellStyle name="Normal 18 2" xfId="118" xr:uid="{00000000-0005-0000-0000-00008A000000}"/>
    <cellStyle name="Normal 19" xfId="119" xr:uid="{00000000-0005-0000-0000-00008B000000}"/>
    <cellStyle name="Normal 19 2" xfId="120" xr:uid="{00000000-0005-0000-0000-00008C000000}"/>
    <cellStyle name="Normal 2" xfId="121" xr:uid="{00000000-0005-0000-0000-00008D000000}"/>
    <cellStyle name="Normal 2 2" xfId="122" xr:uid="{00000000-0005-0000-0000-00008E000000}"/>
    <cellStyle name="Normal 2 2 2" xfId="123" xr:uid="{00000000-0005-0000-0000-00008F000000}"/>
    <cellStyle name="Normal 2 3" xfId="124" xr:uid="{00000000-0005-0000-0000-000090000000}"/>
    <cellStyle name="Normal 2 4" xfId="125" xr:uid="{00000000-0005-0000-0000-000091000000}"/>
    <cellStyle name="Normal 2 5" xfId="208" xr:uid="{00000000-0005-0000-0000-000092000000}"/>
    <cellStyle name="Normal 20" xfId="126" xr:uid="{00000000-0005-0000-0000-000093000000}"/>
    <cellStyle name="Normal 20 2" xfId="127" xr:uid="{00000000-0005-0000-0000-000094000000}"/>
    <cellStyle name="Normal 21" xfId="128" xr:uid="{00000000-0005-0000-0000-000095000000}"/>
    <cellStyle name="Normal 21 2" xfId="129" xr:uid="{00000000-0005-0000-0000-000096000000}"/>
    <cellStyle name="Normal 22" xfId="130" xr:uid="{00000000-0005-0000-0000-000097000000}"/>
    <cellStyle name="Normal 23" xfId="131" xr:uid="{00000000-0005-0000-0000-000098000000}"/>
    <cellStyle name="Normal 24" xfId="132" xr:uid="{00000000-0005-0000-0000-000099000000}"/>
    <cellStyle name="Normal 25" xfId="133" xr:uid="{00000000-0005-0000-0000-00009A000000}"/>
    <cellStyle name="Normal 26" xfId="134" xr:uid="{00000000-0005-0000-0000-00009B000000}"/>
    <cellStyle name="Normal 3" xfId="135" xr:uid="{00000000-0005-0000-0000-00009C000000}"/>
    <cellStyle name="Normal 3 2" xfId="136" xr:uid="{00000000-0005-0000-0000-00009D000000}"/>
    <cellStyle name="Normal 3 2 2" xfId="230" xr:uid="{00000000-0005-0000-0000-00009E000000}"/>
    <cellStyle name="Normal 3 3" xfId="137" xr:uid="{00000000-0005-0000-0000-00009F000000}"/>
    <cellStyle name="Normal 3 4" xfId="138" xr:uid="{00000000-0005-0000-0000-0000A0000000}"/>
    <cellStyle name="Normal 3 4 2" xfId="231" xr:uid="{00000000-0005-0000-0000-0000A1000000}"/>
    <cellStyle name="Normal 3 5" xfId="229" xr:uid="{00000000-0005-0000-0000-0000A2000000}"/>
    <cellStyle name="Normal 4" xfId="139" xr:uid="{00000000-0005-0000-0000-0000A3000000}"/>
    <cellStyle name="Normal 4 2" xfId="140" xr:uid="{00000000-0005-0000-0000-0000A4000000}"/>
    <cellStyle name="Normal 4 3" xfId="141" xr:uid="{00000000-0005-0000-0000-0000A5000000}"/>
    <cellStyle name="Normal 4 4" xfId="232" xr:uid="{00000000-0005-0000-0000-0000A6000000}"/>
    <cellStyle name="Normal 5" xfId="142" xr:uid="{00000000-0005-0000-0000-0000A7000000}"/>
    <cellStyle name="Normal 5 2" xfId="143" xr:uid="{00000000-0005-0000-0000-0000A8000000}"/>
    <cellStyle name="Normal 5 2 2" xfId="234" xr:uid="{00000000-0005-0000-0000-0000A9000000}"/>
    <cellStyle name="Normal 5 3" xfId="144" xr:uid="{00000000-0005-0000-0000-0000AA000000}"/>
    <cellStyle name="Normal 5 3 2" xfId="235" xr:uid="{00000000-0005-0000-0000-0000AB000000}"/>
    <cellStyle name="Normal 5 4" xfId="145" xr:uid="{00000000-0005-0000-0000-0000AC000000}"/>
    <cellStyle name="Normal 5 5" xfId="233" xr:uid="{00000000-0005-0000-0000-0000AD000000}"/>
    <cellStyle name="Normal 6" xfId="146" xr:uid="{00000000-0005-0000-0000-0000AE000000}"/>
    <cellStyle name="Normal 6 2" xfId="147" xr:uid="{00000000-0005-0000-0000-0000AF000000}"/>
    <cellStyle name="Normal 6 2 2" xfId="236" xr:uid="{00000000-0005-0000-0000-0000B0000000}"/>
    <cellStyle name="Normal 6 3" xfId="148" xr:uid="{00000000-0005-0000-0000-0000B1000000}"/>
    <cellStyle name="Normal 7" xfId="149" xr:uid="{00000000-0005-0000-0000-0000B2000000}"/>
    <cellStyle name="Normal 7 2" xfId="150" xr:uid="{00000000-0005-0000-0000-0000B3000000}"/>
    <cellStyle name="Normal 8" xfId="151" xr:uid="{00000000-0005-0000-0000-0000B4000000}"/>
    <cellStyle name="Normal 8 2" xfId="152" xr:uid="{00000000-0005-0000-0000-0000B5000000}"/>
    <cellStyle name="Normal 9" xfId="153" xr:uid="{00000000-0005-0000-0000-0000B6000000}"/>
    <cellStyle name="Normal 9 2" xfId="154" xr:uid="{00000000-0005-0000-0000-0000B7000000}"/>
    <cellStyle name="Normal_a3p04" xfId="155" xr:uid="{00000000-0005-0000-0000-0000B8000000}"/>
    <cellStyle name="Normal_a3p06_1" xfId="240" xr:uid="{DF9BE251-BC24-4F32-9B4D-6D9F6D419AF0}"/>
    <cellStyle name="Normal_a3p08" xfId="156" xr:uid="{00000000-0005-0000-0000-0000B9000000}"/>
    <cellStyle name="Normal_a3p08_2008NCASexcl" xfId="157" xr:uid="{00000000-0005-0000-0000-0000BA000000}"/>
    <cellStyle name="Normal_a3p09" xfId="158" xr:uid="{00000000-0005-0000-0000-0000BB000000}"/>
    <cellStyle name="Normal_a3p10-15" xfId="159" xr:uid="{00000000-0005-0000-0000-0000BC000000}"/>
    <cellStyle name="Normal_a3p10-15 2" xfId="160" xr:uid="{00000000-0005-0000-0000-0000BD000000}"/>
    <cellStyle name="Normal_a3p19" xfId="161" xr:uid="{00000000-0005-0000-0000-0000BE000000}"/>
    <cellStyle name="Normal_a4p01_CmCoExcl" xfId="162" xr:uid="{00000000-0005-0000-0000-0000BF000000}"/>
    <cellStyle name="Normal_a4p01_CmCoExcl 2" xfId="163" xr:uid="{00000000-0005-0000-0000-0000C0000000}"/>
    <cellStyle name="Normal_a4p02_CmCoExcl" xfId="164" xr:uid="{00000000-0005-0000-0000-0000C1000000}"/>
    <cellStyle name="Normal_a4p02_CmCoExcl 2" xfId="165" xr:uid="{00000000-0005-0000-0000-0000C2000000}"/>
    <cellStyle name="Normal_a4p05" xfId="241" xr:uid="{76830162-C156-459D-A32E-87AF47E8346E}"/>
    <cellStyle name="Normal_a5p07-09" xfId="166" xr:uid="{00000000-0005-0000-0000-0000C3000000}"/>
    <cellStyle name="Normal_a5p09" xfId="167" xr:uid="{00000000-0005-0000-0000-0000C4000000}"/>
    <cellStyle name="Normal_a5p10_2008NCASexcl" xfId="168" xr:uid="{00000000-0005-0000-0000-0000C5000000}"/>
    <cellStyle name="Normal_a5p11" xfId="169" xr:uid="{00000000-0005-0000-0000-0000C6000000}"/>
    <cellStyle name="Normal_a7p01" xfId="170" xr:uid="{00000000-0005-0000-0000-0000C7000000}"/>
    <cellStyle name="Normal_a7p02" xfId="171" xr:uid="{00000000-0005-0000-0000-0000C8000000}"/>
    <cellStyle name="Normal_a7p02 2" xfId="242" xr:uid="{84FC577B-BA1B-45F5-9637-FD6BC699DD06}"/>
    <cellStyle name="Normal_a7p03" xfId="172" xr:uid="{00000000-0005-0000-0000-0000C9000000}"/>
    <cellStyle name="Normal_a7p12" xfId="173" xr:uid="{00000000-0005-0000-0000-0000CA000000}"/>
    <cellStyle name="Normal_a7p12_2008NCASexcl" xfId="174" xr:uid="{00000000-0005-0000-0000-0000CB000000}"/>
    <cellStyle name="Normal_allocation_worksheet" xfId="175" xr:uid="{00000000-0005-0000-0000-0000CC000000}"/>
    <cellStyle name="Normal_CmCoExcl" xfId="176" xr:uid="{00000000-0005-0000-0000-0000CD000000}"/>
    <cellStyle name="Normal_CmCoExcl_2008NCASexcl" xfId="177" xr:uid="{00000000-0005-0000-0000-0000CE000000}"/>
    <cellStyle name="Normal_Related_Party" xfId="178" xr:uid="{00000000-0005-0000-0000-0000CF000000}"/>
    <cellStyle name="Normal_Transfersheetsa" xfId="179" xr:uid="{00000000-0005-0000-0000-0000D0000000}"/>
    <cellStyle name="Normal_UnivExcl" xfId="180" xr:uid="{00000000-0005-0000-0000-0000D1000000}"/>
    <cellStyle name="Note" xfId="181" builtinId="10" customBuiltin="1"/>
    <cellStyle name="Note 2" xfId="182" xr:uid="{00000000-0005-0000-0000-0000D3000000}"/>
    <cellStyle name="Note 2 2" xfId="237" xr:uid="{00000000-0005-0000-0000-0000D4000000}"/>
    <cellStyle name="Number$ -" xfId="183" xr:uid="{00000000-0005-0000-0000-0000D5000000}"/>
    <cellStyle name="Number$ - 2" xfId="184" xr:uid="{00000000-0005-0000-0000-0000D6000000}"/>
    <cellStyle name="Number-no $ -" xfId="185" xr:uid="{00000000-0005-0000-0000-0000D7000000}"/>
    <cellStyle name="Number-no $ - 2" xfId="186" xr:uid="{00000000-0005-0000-0000-0000D8000000}"/>
    <cellStyle name="Number-no $ -_2006Agencyproforma" xfId="187" xr:uid="{00000000-0005-0000-0000-0000D9000000}"/>
    <cellStyle name="NumberTotal$ -" xfId="188" xr:uid="{00000000-0005-0000-0000-0000DA000000}"/>
    <cellStyle name="NumberTotal$ - 2" xfId="189" xr:uid="{00000000-0005-0000-0000-0000DB000000}"/>
    <cellStyle name="NumberTotal-no $ -" xfId="190" xr:uid="{00000000-0005-0000-0000-0000DC000000}"/>
    <cellStyle name="NumberTotal-no $ - 2" xfId="191" xr:uid="{00000000-0005-0000-0000-0000DD000000}"/>
    <cellStyle name="NumNo$" xfId="192" xr:uid="{00000000-0005-0000-0000-0000DE000000}"/>
    <cellStyle name="NumNo$ 2" xfId="193" xr:uid="{00000000-0005-0000-0000-0000DF000000}"/>
    <cellStyle name="NumTotD" xfId="194" xr:uid="{00000000-0005-0000-0000-0000E0000000}"/>
    <cellStyle name="NumTotD 2" xfId="195" xr:uid="{00000000-0005-0000-0000-0000E1000000}"/>
    <cellStyle name="NumTotNo$" xfId="196" xr:uid="{00000000-0005-0000-0000-0000E2000000}"/>
    <cellStyle name="NumTotNo$ 2" xfId="197" xr:uid="{00000000-0005-0000-0000-0000E3000000}"/>
    <cellStyle name="Output" xfId="198" builtinId="21" customBuiltin="1"/>
    <cellStyle name="Output 2" xfId="199" xr:uid="{00000000-0005-0000-0000-0000E5000000}"/>
    <cellStyle name="Percent" xfId="200" builtinId="5"/>
    <cellStyle name="Percent 2" xfId="201" xr:uid="{00000000-0005-0000-0000-0000E7000000}"/>
    <cellStyle name="Percent 2 2" xfId="238" xr:uid="{00000000-0005-0000-0000-0000E8000000}"/>
    <cellStyle name="Title" xfId="202" builtinId="15" customBuiltin="1"/>
    <cellStyle name="Title 2" xfId="203" xr:uid="{00000000-0005-0000-0000-0000EA000000}"/>
    <cellStyle name="Title 3" xfId="239" xr:uid="{00000000-0005-0000-0000-0000EB000000}"/>
    <cellStyle name="Total" xfId="204" builtinId="25" customBuiltin="1"/>
    <cellStyle name="Total 2" xfId="205" xr:uid="{00000000-0005-0000-0000-0000ED000000}"/>
    <cellStyle name="Warning Text" xfId="206" builtinId="11" customBuiltin="1"/>
    <cellStyle name="Warning Text 2" xfId="207" xr:uid="{00000000-0005-0000-0000-0000EF000000}"/>
  </cellStyles>
  <dxfs count="9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theme="0" tint="-0.14996795556505021"/>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border>
        <left style="thin">
          <color indexed="64"/>
        </left>
        <right style="thin">
          <color indexed="64"/>
        </right>
        <top style="thin">
          <color indexed="64"/>
        </top>
        <bottom style="thin">
          <color indexed="64"/>
        </bottom>
      </border>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theme="0" tint="-0.14996795556505021"/>
        </patternFill>
      </fill>
    </dxf>
    <dxf>
      <border>
        <left style="thin">
          <color indexed="64"/>
        </left>
        <right style="thin">
          <color indexed="64"/>
        </right>
        <top style="thin">
          <color indexed="64"/>
        </top>
        <bottom style="thin">
          <color indexed="64"/>
        </bottom>
      </border>
    </dxf>
    <dxf>
      <font>
        <b/>
        <i val="0"/>
      </font>
      <fill>
        <patternFill>
          <bgColor theme="0" tint="-0.14996795556505021"/>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0"/>
      </font>
    </dxf>
    <dxf>
      <font>
        <b/>
        <i val="0"/>
        <condense val="0"/>
        <extend val="0"/>
        <color indexed="10"/>
      </font>
    </dxf>
    <dxf>
      <border>
        <left style="thin">
          <color indexed="64"/>
        </left>
        <right style="thin">
          <color indexed="64"/>
        </right>
        <top style="thin">
          <color indexed="64"/>
        </top>
        <bottom style="thin">
          <color indexed="64"/>
        </bottom>
      </border>
    </dxf>
    <dxf>
      <font>
        <b/>
        <i val="0"/>
        <condense val="0"/>
        <extend val="0"/>
        <color indexed="10"/>
      </font>
    </dxf>
    <dxf>
      <border>
        <left style="thin">
          <color indexed="64"/>
        </left>
        <right style="thin">
          <color indexed="64"/>
        </right>
        <top style="thin">
          <color indexed="64"/>
        </top>
        <bottom style="thin">
          <color indexed="64"/>
        </bottom>
      </border>
    </dxf>
    <dxf>
      <font>
        <b/>
        <i val="0"/>
        <condense val="0"/>
        <extend val="0"/>
        <color indexed="10"/>
      </font>
    </dxf>
    <dxf>
      <border>
        <left style="thin">
          <color indexed="64"/>
        </left>
        <right style="thin">
          <color indexed="64"/>
        </right>
        <top style="thin">
          <color indexed="64"/>
        </top>
        <bottom style="thin">
          <color indexed="64"/>
        </bottom>
      </border>
    </dxf>
    <dxf>
      <font>
        <color rgb="FFFF0000"/>
      </font>
    </dxf>
    <dxf>
      <font>
        <color rgb="FF0000FF"/>
      </font>
    </dxf>
    <dxf>
      <font>
        <color rgb="FFFF0000"/>
      </font>
    </dxf>
    <dxf>
      <font>
        <color rgb="FF0000FF"/>
      </font>
    </dxf>
    <dxf>
      <font>
        <color rgb="FFFF0000"/>
      </font>
    </dxf>
    <dxf>
      <font>
        <color rgb="FF0000FF"/>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FF0000"/>
      </font>
    </dxf>
    <dxf>
      <font>
        <color rgb="FF0000FF"/>
      </font>
    </dxf>
    <dxf>
      <font>
        <color rgb="FFFF0000"/>
      </font>
    </dxf>
    <dxf>
      <font>
        <color rgb="FF0000FF"/>
      </font>
    </dxf>
    <dxf>
      <font>
        <color rgb="FFFF0000"/>
      </font>
    </dxf>
    <dxf>
      <font>
        <color rgb="FF0000FF"/>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B050"/>
      </font>
      <fill>
        <patternFill patternType="none">
          <bgColor auto="1"/>
        </patternFill>
      </fill>
    </dxf>
    <dxf>
      <font>
        <color rgb="FF0000FF"/>
      </font>
    </dxf>
    <dxf>
      <font>
        <color rgb="FFFF0000"/>
      </font>
    </dxf>
    <dxf>
      <font>
        <color rgb="FF0000FF"/>
      </font>
    </dxf>
    <dxf>
      <font>
        <color rgb="FFFF0000"/>
      </font>
    </dxf>
    <dxf>
      <font>
        <color rgb="FF0000FF"/>
      </font>
    </dxf>
    <dxf>
      <font>
        <color rgb="FFFF0000"/>
      </font>
    </dxf>
    <dxf>
      <fill>
        <patternFill>
          <bgColor indexed="26"/>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4</xdr:col>
      <xdr:colOff>114300</xdr:colOff>
      <xdr:row>12</xdr:row>
      <xdr:rowOff>190500</xdr:rowOff>
    </xdr:from>
    <xdr:ext cx="5172075" cy="335280"/>
    <xdr:sp macro="" textlink="" fLocksText="0">
      <xdr:nvSpPr>
        <xdr:cNvPr id="4" name="TextBox 3">
          <a:extLst>
            <a:ext uri="{FF2B5EF4-FFF2-40B4-BE49-F238E27FC236}">
              <a16:creationId xmlns:a16="http://schemas.microsoft.com/office/drawing/2014/main" id="{00000000-0008-0000-0800-000004000000}"/>
            </a:ext>
          </a:extLst>
        </xdr:cNvPr>
        <xdr:cNvSpPr txBox="1"/>
      </xdr:nvSpPr>
      <xdr:spPr>
        <a:xfrm>
          <a:off x="1066800" y="2133600"/>
          <a:ext cx="5172075" cy="335280"/>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800">
            <a:latin typeface="Arial Narrow" panose="020B0606020202030204" pitchFamily="34" charset="0"/>
            <a:cs typeface="Arial" panose="020B0604020202020204" pitchFamily="34" charset="0"/>
          </a:endParaRPr>
        </a:p>
        <a:p>
          <a:endParaRPr lang="en-US" sz="800">
            <a:latin typeface="Arial Narrow" panose="020B0606020202030204" pitchFamily="34" charset="0"/>
            <a:cs typeface="Arial" panose="020B0604020202020204" pitchFamily="34" charset="0"/>
          </a:endParaRPr>
        </a:p>
        <a:p>
          <a:endParaRPr lang="en-US" sz="800">
            <a:latin typeface="Arial Narrow" panose="020B0606020202030204" pitchFamily="34" charset="0"/>
            <a:cs typeface="Arial" panose="020B0604020202020204" pitchFamily="34" charset="0"/>
          </a:endParaRPr>
        </a:p>
      </xdr:txBody>
    </xdr:sp>
    <xdr:clientData fLocksWithSheet="0"/>
  </xdr:oneCellAnchor>
  <xdr:oneCellAnchor>
    <xdr:from>
      <xdr:col>4</xdr:col>
      <xdr:colOff>95250</xdr:colOff>
      <xdr:row>20</xdr:row>
      <xdr:rowOff>0</xdr:rowOff>
    </xdr:from>
    <xdr:ext cx="5172075" cy="335280"/>
    <xdr:sp macro="" textlink="" fLocksText="0">
      <xdr:nvSpPr>
        <xdr:cNvPr id="5" name="TextBox 4">
          <a:extLst>
            <a:ext uri="{FF2B5EF4-FFF2-40B4-BE49-F238E27FC236}">
              <a16:creationId xmlns:a16="http://schemas.microsoft.com/office/drawing/2014/main" id="{00000000-0008-0000-0800-000005000000}"/>
            </a:ext>
          </a:extLst>
        </xdr:cNvPr>
        <xdr:cNvSpPr txBox="1"/>
      </xdr:nvSpPr>
      <xdr:spPr>
        <a:xfrm>
          <a:off x="1047750" y="3181350"/>
          <a:ext cx="5172075" cy="335280"/>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800">
            <a:latin typeface="Arial Narrow" panose="020B0606020202030204" pitchFamily="34" charset="0"/>
            <a:cs typeface="Arial" panose="020B0604020202020204" pitchFamily="34" charset="0"/>
          </a:endParaRPr>
        </a:p>
        <a:p>
          <a:endParaRPr lang="en-US" sz="800">
            <a:latin typeface="Arial Narrow" panose="020B0606020202030204" pitchFamily="34" charset="0"/>
            <a:cs typeface="Arial" panose="020B0604020202020204" pitchFamily="34" charset="0"/>
          </a:endParaRPr>
        </a:p>
        <a:p>
          <a:endParaRPr lang="en-US" sz="800">
            <a:latin typeface="Arial Narrow" panose="020B0606020202030204" pitchFamily="34" charset="0"/>
            <a:cs typeface="Arial" panose="020B0604020202020204" pitchFamily="34" charset="0"/>
          </a:endParaRPr>
        </a:p>
      </xdr:txBody>
    </xdr:sp>
    <xdr:clientData fLocksWithSheet="0"/>
  </xdr:oneCellAnchor>
  <xdr:oneCellAnchor>
    <xdr:from>
      <xdr:col>4</xdr:col>
      <xdr:colOff>114300</xdr:colOff>
      <xdr:row>28</xdr:row>
      <xdr:rowOff>180975</xdr:rowOff>
    </xdr:from>
    <xdr:ext cx="5172075" cy="335280"/>
    <xdr:sp macro="" textlink="" fLocksText="0">
      <xdr:nvSpPr>
        <xdr:cNvPr id="6" name="TextBox 5">
          <a:extLst>
            <a:ext uri="{FF2B5EF4-FFF2-40B4-BE49-F238E27FC236}">
              <a16:creationId xmlns:a16="http://schemas.microsoft.com/office/drawing/2014/main" id="{00000000-0008-0000-0800-000006000000}"/>
            </a:ext>
          </a:extLst>
        </xdr:cNvPr>
        <xdr:cNvSpPr txBox="1"/>
      </xdr:nvSpPr>
      <xdr:spPr>
        <a:xfrm>
          <a:off x="1066800" y="4476750"/>
          <a:ext cx="5172075" cy="335280"/>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800">
            <a:latin typeface="Arial Narrow" panose="020B0606020202030204" pitchFamily="34" charset="0"/>
            <a:cs typeface="Arial" panose="020B0604020202020204" pitchFamily="34" charset="0"/>
          </a:endParaRPr>
        </a:p>
        <a:p>
          <a:endParaRPr lang="en-US" sz="800">
            <a:latin typeface="Arial Narrow" panose="020B0606020202030204" pitchFamily="34" charset="0"/>
            <a:cs typeface="Arial" panose="020B0604020202020204" pitchFamily="34" charset="0"/>
          </a:endParaRPr>
        </a:p>
        <a:p>
          <a:endParaRPr lang="en-US" sz="800">
            <a:latin typeface="Arial Narrow" panose="020B0606020202030204" pitchFamily="34" charset="0"/>
            <a:cs typeface="Arial" panose="020B0604020202020204" pitchFamily="34" charset="0"/>
          </a:endParaRPr>
        </a:p>
      </xdr:txBody>
    </xdr:sp>
    <xdr:clientData fLocksWithSheet="0"/>
  </xdr:oneCellAnchor>
  <xdr:twoCellAnchor editAs="oneCell">
    <xdr:from>
      <xdr:col>3</xdr:col>
      <xdr:colOff>123825</xdr:colOff>
      <xdr:row>44</xdr:row>
      <xdr:rowOff>0</xdr:rowOff>
    </xdr:from>
    <xdr:to>
      <xdr:col>3</xdr:col>
      <xdr:colOff>320040</xdr:colOff>
      <xdr:row>45</xdr:row>
      <xdr:rowOff>15240</xdr:rowOff>
    </xdr:to>
    <xdr:pic>
      <xdr:nvPicPr>
        <xdr:cNvPr id="41428" name="Picture 6">
          <a:extLst>
            <a:ext uri="{FF2B5EF4-FFF2-40B4-BE49-F238E27FC236}">
              <a16:creationId xmlns:a16="http://schemas.microsoft.com/office/drawing/2014/main" id="{00000000-0008-0000-0800-0000D4A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6334125"/>
          <a:ext cx="190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6</xdr:col>
      <xdr:colOff>1821180</xdr:colOff>
      <xdr:row>23</xdr:row>
      <xdr:rowOff>57892</xdr:rowOff>
    </xdr:to>
    <xdr:pic>
      <xdr:nvPicPr>
        <xdr:cNvPr id="5" name="Picture 4">
          <a:extLst>
            <a:ext uri="{FF2B5EF4-FFF2-40B4-BE49-F238E27FC236}">
              <a16:creationId xmlns:a16="http://schemas.microsoft.com/office/drawing/2014/main" id="{EE702495-45DF-4676-A123-36F5FAC5F9CB}"/>
            </a:ext>
          </a:extLst>
        </xdr:cNvPr>
        <xdr:cNvPicPr>
          <a:picLocks noChangeAspect="1"/>
        </xdr:cNvPicPr>
      </xdr:nvPicPr>
      <xdr:blipFill>
        <a:blip xmlns:r="http://schemas.openxmlformats.org/officeDocument/2006/relationships" r:embed="rId1"/>
        <a:stretch>
          <a:fillRect/>
        </a:stretch>
      </xdr:blipFill>
      <xdr:spPr>
        <a:xfrm>
          <a:off x="0" y="3055620"/>
          <a:ext cx="6286500" cy="1063732"/>
        </a:xfrm>
        <a:prstGeom prst="rect">
          <a:avLst/>
        </a:prstGeom>
      </xdr:spPr>
    </xdr:pic>
    <xdr:clientData/>
  </xdr:twoCellAnchor>
  <xdr:twoCellAnchor editAs="oneCell">
    <xdr:from>
      <xdr:col>0</xdr:col>
      <xdr:colOff>0</xdr:colOff>
      <xdr:row>34</xdr:row>
      <xdr:rowOff>0</xdr:rowOff>
    </xdr:from>
    <xdr:to>
      <xdr:col>6</xdr:col>
      <xdr:colOff>1859280</xdr:colOff>
      <xdr:row>40</xdr:row>
      <xdr:rowOff>16239</xdr:rowOff>
    </xdr:to>
    <xdr:pic>
      <xdr:nvPicPr>
        <xdr:cNvPr id="7" name="Picture 6">
          <a:extLst>
            <a:ext uri="{FF2B5EF4-FFF2-40B4-BE49-F238E27FC236}">
              <a16:creationId xmlns:a16="http://schemas.microsoft.com/office/drawing/2014/main" id="{54AE4EE2-D744-4198-AA25-A5050CE3E746}"/>
            </a:ext>
          </a:extLst>
        </xdr:cNvPr>
        <xdr:cNvPicPr>
          <a:picLocks noChangeAspect="1"/>
        </xdr:cNvPicPr>
      </xdr:nvPicPr>
      <xdr:blipFill>
        <a:blip xmlns:r="http://schemas.openxmlformats.org/officeDocument/2006/relationships" r:embed="rId2"/>
        <a:stretch>
          <a:fillRect/>
        </a:stretch>
      </xdr:blipFill>
      <xdr:spPr>
        <a:xfrm>
          <a:off x="0" y="5913120"/>
          <a:ext cx="6324600" cy="1022079"/>
        </a:xfrm>
        <a:prstGeom prst="rect">
          <a:avLst/>
        </a:prstGeom>
      </xdr:spPr>
    </xdr:pic>
    <xdr:clientData/>
  </xdr:twoCellAnchor>
  <xdr:twoCellAnchor editAs="oneCell">
    <xdr:from>
      <xdr:col>0</xdr:col>
      <xdr:colOff>0</xdr:colOff>
      <xdr:row>51</xdr:row>
      <xdr:rowOff>0</xdr:rowOff>
    </xdr:from>
    <xdr:to>
      <xdr:col>6</xdr:col>
      <xdr:colOff>1859280</xdr:colOff>
      <xdr:row>57</xdr:row>
      <xdr:rowOff>60960</xdr:rowOff>
    </xdr:to>
    <xdr:pic>
      <xdr:nvPicPr>
        <xdr:cNvPr id="9" name="Picture 8">
          <a:extLst>
            <a:ext uri="{FF2B5EF4-FFF2-40B4-BE49-F238E27FC236}">
              <a16:creationId xmlns:a16="http://schemas.microsoft.com/office/drawing/2014/main" id="{AE86D64B-996F-4A73-8C6E-BD9B0D2912BE}"/>
            </a:ext>
          </a:extLst>
        </xdr:cNvPr>
        <xdr:cNvPicPr>
          <a:picLocks noChangeAspect="1"/>
        </xdr:cNvPicPr>
      </xdr:nvPicPr>
      <xdr:blipFill>
        <a:blip xmlns:r="http://schemas.openxmlformats.org/officeDocument/2006/relationships" r:embed="rId3"/>
        <a:stretch>
          <a:fillRect/>
        </a:stretch>
      </xdr:blipFill>
      <xdr:spPr>
        <a:xfrm>
          <a:off x="0" y="8770620"/>
          <a:ext cx="6324600" cy="1066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7</xdr:row>
      <xdr:rowOff>109787</xdr:rowOff>
    </xdr:from>
    <xdr:to>
      <xdr:col>22</xdr:col>
      <xdr:colOff>20053</xdr:colOff>
      <xdr:row>13</xdr:row>
      <xdr:rowOff>601579</xdr:rowOff>
    </xdr:to>
    <xdr:sp macro="" textlink="">
      <xdr:nvSpPr>
        <xdr:cNvPr id="24629" name="Text Box 1">
          <a:extLst>
            <a:ext uri="{FF2B5EF4-FFF2-40B4-BE49-F238E27FC236}">
              <a16:creationId xmlns:a16="http://schemas.microsoft.com/office/drawing/2014/main" id="{00000000-0008-0000-1600-000035600000}"/>
            </a:ext>
          </a:extLst>
        </xdr:cNvPr>
        <xdr:cNvSpPr txBox="1">
          <a:spLocks noChangeArrowheads="1"/>
        </xdr:cNvSpPr>
      </xdr:nvSpPr>
      <xdr:spPr bwMode="auto">
        <a:xfrm>
          <a:off x="28575" y="1373103"/>
          <a:ext cx="8543925" cy="1554581"/>
        </a:xfrm>
        <a:prstGeom prst="rect">
          <a:avLst/>
        </a:prstGeom>
        <a:noFill/>
        <a:ln w="9525">
          <a:solidFill>
            <a:srgbClr val="000000"/>
          </a:solidFill>
          <a:miter lim="800000"/>
          <a:headEnd/>
          <a:tailEnd/>
        </a:ln>
      </xdr:spPr>
      <xdr:txBody>
        <a:bodyPr vertOverflow="clip" wrap="square" lIns="27432" tIns="22860" rIns="0" bIns="0" anchor="t" upright="1"/>
        <a:lstStyle/>
        <a:p>
          <a:pPr marL="0" marR="0" indent="0" algn="l" defTabSz="914400" rtl="0" eaLnBrk="1" fontAlgn="auto" latinLnBrk="0" hangingPunct="1">
            <a:lnSpc>
              <a:spcPts val="800"/>
            </a:lnSpc>
            <a:spcBef>
              <a:spcPts val="0"/>
            </a:spcBef>
            <a:spcAft>
              <a:spcPts val="0"/>
            </a:spcAft>
            <a:buClrTx/>
            <a:buSzTx/>
            <a:buFontTx/>
            <a:buNone/>
            <a:tabLst/>
            <a:defRPr sz="1000"/>
          </a:pPr>
          <a:r>
            <a:rPr lang="en-US" sz="900" b="0" i="0">
              <a:effectLst/>
              <a:latin typeface="Arial" panose="020B0604020202020204" pitchFamily="34" charset="0"/>
              <a:ea typeface="+mn-ea"/>
              <a:cs typeface="Arial" panose="020B0604020202020204" pitchFamily="34" charset="0"/>
            </a:rPr>
            <a:t>For each </a:t>
          </a:r>
          <a:r>
            <a:rPr lang="en-US" sz="900" b="1" i="0">
              <a:effectLst/>
              <a:latin typeface="Arial" panose="020B0604020202020204" pitchFamily="34" charset="0"/>
              <a:ea typeface="+mn-ea"/>
              <a:cs typeface="Arial" panose="020B0604020202020204" pitchFamily="34" charset="0"/>
            </a:rPr>
            <a:t>GASB fund number</a:t>
          </a:r>
          <a:r>
            <a:rPr lang="en-US" sz="900" b="0" i="0">
              <a:effectLst/>
              <a:latin typeface="Arial" panose="020B0604020202020204" pitchFamily="34" charset="0"/>
              <a:ea typeface="+mn-ea"/>
              <a:cs typeface="Arial" panose="020B0604020202020204" pitchFamily="34" charset="0"/>
            </a:rPr>
            <a:t>, analyze </a:t>
          </a:r>
          <a:r>
            <a:rPr lang="en-US" sz="900" b="1" i="0">
              <a:effectLst/>
              <a:latin typeface="Arial" panose="020B0604020202020204" pitchFamily="34" charset="0"/>
              <a:ea typeface="+mn-ea"/>
              <a:cs typeface="Arial" panose="020B0604020202020204" pitchFamily="34" charset="0"/>
            </a:rPr>
            <a:t>SIGNIFICANT INCREASES/DECREASES</a:t>
          </a:r>
          <a:r>
            <a:rPr lang="en-US" sz="900" b="0" i="0">
              <a:effectLst/>
              <a:latin typeface="Arial" panose="020B0604020202020204" pitchFamily="34" charset="0"/>
              <a:ea typeface="+mn-ea"/>
              <a:cs typeface="Arial" panose="020B0604020202020204" pitchFamily="34" charset="0"/>
            </a:rPr>
            <a:t> from the prior year at the financial statement report caption level . The threshold for significant is defined as a change of 15% AND a dollar amount of $15 million or greater for primary government agencies/</a:t>
          </a:r>
          <a:r>
            <a:rPr lang="en-US" sz="900" b="0" i="0" baseline="0">
              <a:effectLst/>
              <a:latin typeface="Arial" panose="020B0604020202020204" pitchFamily="34" charset="0"/>
              <a:ea typeface="+mn-ea"/>
              <a:cs typeface="Arial" panose="020B0604020202020204" pitchFamily="34" charset="0"/>
            </a:rPr>
            <a:t> $40 million or greater for UNC Chapel Hill and the UNC Health Care System/ $30 million or greater for North Carolina State University/</a:t>
          </a:r>
          <a:r>
            <a:rPr lang="en-US" sz="900" b="0" i="0">
              <a:effectLst/>
              <a:latin typeface="Arial" panose="020B0604020202020204" pitchFamily="34" charset="0"/>
              <a:ea typeface="+mn-ea"/>
              <a:cs typeface="Arial" panose="020B0604020202020204" pitchFamily="34" charset="0"/>
            </a:rPr>
            <a:t> $10 million or greater for all other universities and major component units/ $2 million or greater for colleges and nonmajor component units. Start with the operating statement and analyze revenues and other financing sources, and expenditures/expenses and other uses. First explain the operating statement variances. Then look at assets and liabilities</a:t>
          </a:r>
          <a:r>
            <a:rPr lang="en-US" sz="900" b="0" i="0" u="sng">
              <a:effectLst/>
              <a:latin typeface="Arial" panose="020B0604020202020204" pitchFamily="34" charset="0"/>
              <a:ea typeface="+mn-ea"/>
              <a:cs typeface="Arial" panose="020B0604020202020204" pitchFamily="34" charset="0"/>
            </a:rPr>
            <a:t>,</a:t>
          </a:r>
          <a:r>
            <a:rPr lang="en-US" sz="900" b="0" i="0" u="sng" baseline="0">
              <a:effectLst/>
              <a:latin typeface="Arial" panose="020B0604020202020204" pitchFamily="34" charset="0"/>
              <a:ea typeface="+mn-ea"/>
              <a:cs typeface="Arial" panose="020B0604020202020204" pitchFamily="34" charset="0"/>
            </a:rPr>
            <a:t>deferred outflows and inflows. </a:t>
          </a:r>
          <a:r>
            <a:rPr lang="en-US" sz="900" b="0" i="0" u="sng">
              <a:effectLst/>
              <a:latin typeface="Arial" panose="020B0604020202020204" pitchFamily="34" charset="0"/>
              <a:ea typeface="+mn-ea"/>
              <a:cs typeface="Arial" panose="020B0604020202020204" pitchFamily="34" charset="0"/>
            </a:rPr>
            <a:t> For BTAs, if</a:t>
          </a:r>
          <a:r>
            <a:rPr lang="en-US" sz="900" b="0" i="0" u="sng" baseline="0">
              <a:effectLst/>
              <a:latin typeface="Arial" panose="020B0604020202020204" pitchFamily="34" charset="0"/>
              <a:ea typeface="+mn-ea"/>
              <a:cs typeface="Arial" panose="020B0604020202020204" pitchFamily="34" charset="0"/>
            </a:rPr>
            <a:t> it is helpful for your explanation, you may combine the current and noncurrent portions for assets and liabilities to provide one explanation for significant changes.</a:t>
          </a:r>
          <a:r>
            <a:rPr lang="en-US" sz="900" b="0" i="0" baseline="0">
              <a:effectLst/>
              <a:latin typeface="Arial" panose="020B0604020202020204" pitchFamily="34" charset="0"/>
              <a:ea typeface="+mn-ea"/>
              <a:cs typeface="Arial" panose="020B0604020202020204" pitchFamily="34" charset="0"/>
            </a:rPr>
            <a:t> E</a:t>
          </a:r>
          <a:r>
            <a:rPr lang="en-US" sz="900" b="0" i="0">
              <a:effectLst/>
              <a:latin typeface="Arial" panose="020B0604020202020204" pitchFamily="34" charset="0"/>
              <a:ea typeface="+mn-ea"/>
              <a:cs typeface="Arial" panose="020B0604020202020204" pitchFamily="34" charset="0"/>
            </a:rPr>
            <a:t>xplain balance sheet variances if not already explained by the operating statement. Write an </a:t>
          </a:r>
          <a:r>
            <a:rPr lang="en-US" sz="900" b="0" i="0" u="sng">
              <a:effectLst/>
              <a:latin typeface="Arial" panose="020B0604020202020204" pitchFamily="34" charset="0"/>
              <a:ea typeface="+mn-ea"/>
              <a:cs typeface="Arial" panose="020B0604020202020204" pitchFamily="34" charset="0"/>
            </a:rPr>
            <a:t>informative</a:t>
          </a:r>
          <a:r>
            <a:rPr lang="en-US" sz="900" b="0" i="0">
              <a:effectLst/>
              <a:latin typeface="Arial" panose="020B0604020202020204" pitchFamily="34" charset="0"/>
              <a:ea typeface="+mn-ea"/>
              <a:cs typeface="Arial" panose="020B0604020202020204" pitchFamily="34" charset="0"/>
            </a:rPr>
            <a:t> description to explain variances, indicating the </a:t>
          </a:r>
          <a:r>
            <a:rPr lang="en-US" sz="900" b="1" i="1" u="sng">
              <a:effectLst/>
              <a:latin typeface="Arial" panose="020B0604020202020204" pitchFamily="34" charset="0"/>
              <a:ea typeface="+mn-ea"/>
              <a:cs typeface="Arial" panose="020B0604020202020204" pitchFamily="34" charset="0"/>
            </a:rPr>
            <a:t>REASON , e.g., Why did sales increase? What happened this year to cause this variance?</a:t>
          </a:r>
          <a:r>
            <a:rPr lang="en-US" sz="900" b="0" i="0">
              <a:effectLst/>
              <a:latin typeface="Arial" panose="020B0604020202020204" pitchFamily="34" charset="0"/>
              <a:ea typeface="+mn-ea"/>
              <a:cs typeface="Arial" panose="020B0604020202020204" pitchFamily="34" charset="0"/>
            </a:rPr>
            <a:t>  Variances</a:t>
          </a:r>
          <a:r>
            <a:rPr lang="en-US" sz="900" b="0" i="0" baseline="0">
              <a:effectLst/>
              <a:latin typeface="Arial" panose="020B0604020202020204" pitchFamily="34" charset="0"/>
              <a:ea typeface="+mn-ea"/>
              <a:cs typeface="Arial" panose="020B0604020202020204" pitchFamily="34" charset="0"/>
            </a:rPr>
            <a:t> in fund equity do not require explanation. </a:t>
          </a:r>
          <a:r>
            <a:rPr lang="en-US" sz="900" b="0" i="0">
              <a:effectLst/>
              <a:latin typeface="Arial" panose="020B0604020202020204" pitchFamily="34" charset="0"/>
              <a:ea typeface="+mn-ea"/>
              <a:cs typeface="Arial" panose="020B0604020202020204" pitchFamily="34" charset="0"/>
            </a:rPr>
            <a:t>The description area is formatted to wrap text, so take as much space as needed to explain, and just increase the height of the row to show the text. Create copies of this page for different GASBs and more space as needed. This worksheet should include unusual and significant items.  NCAS agencies should use DSS COMP reports to accumulate this information, with two-year comparative statements available to assist you. </a:t>
          </a:r>
          <a:r>
            <a:rPr lang="en-US" sz="900" b="0" i="0" u="sng">
              <a:effectLst/>
              <a:latin typeface="Arial" panose="020B0604020202020204" pitchFamily="34" charset="0"/>
              <a:ea typeface="+mn-ea"/>
              <a:cs typeface="Arial" panose="020B0604020202020204" pitchFamily="34" charset="0"/>
            </a:rPr>
            <a:t>Pay</a:t>
          </a:r>
          <a:r>
            <a:rPr lang="en-US" sz="900" b="0" i="0" u="sng" baseline="0">
              <a:effectLst/>
              <a:latin typeface="Arial" panose="020B0604020202020204" pitchFamily="34" charset="0"/>
              <a:ea typeface="+mn-ea"/>
              <a:cs typeface="Arial" panose="020B0604020202020204" pitchFamily="34" charset="0"/>
            </a:rPr>
            <a:t> particular attention to 100% or /0 changes where there is a value in the caption in one year, but not the other year.  This could indicate a misclassification which would need to be corrected or a new item/change that would need to be explained. Please use this worksheet as a tool for your own review of the statements to see that amounts are reasonable/expected and big changes can be explained. </a:t>
          </a:r>
          <a:r>
            <a:rPr lang="en-US" sz="900" b="0" i="0" u="sng">
              <a:effectLst/>
              <a:latin typeface="Arial" panose="020B0604020202020204" pitchFamily="34" charset="0"/>
              <a:ea typeface="+mn-ea"/>
              <a:cs typeface="Arial" panose="020B0604020202020204" pitchFamily="34" charset="0"/>
            </a:rPr>
            <a:t>See instructions for more detail</a:t>
          </a:r>
          <a:r>
            <a:rPr lang="en-US" sz="900" b="0" i="0" u="sng" baseline="0">
              <a:effectLst/>
              <a:latin typeface="Arial" panose="020B0604020202020204" pitchFamily="34" charset="0"/>
              <a:ea typeface="+mn-ea"/>
              <a:cs typeface="Arial" panose="020B0604020202020204" pitchFamily="34" charset="0"/>
            </a:rPr>
            <a:t> or contact your OSC analyst for additional guidance</a:t>
          </a:r>
          <a:r>
            <a:rPr lang="en-US" sz="900" b="0" i="0" u="sng">
              <a:effectLst/>
              <a:latin typeface="Arial" panose="020B0604020202020204" pitchFamily="34" charset="0"/>
              <a:ea typeface="+mn-ea"/>
              <a:cs typeface="Arial" panose="020B0604020202020204" pitchFamily="34" charset="0"/>
            </a:rPr>
            <a:t>.</a:t>
          </a:r>
          <a:endParaRPr lang="en-US" sz="900">
            <a:effectLst/>
            <a:latin typeface="Arial" panose="020B0604020202020204" pitchFamily="34" charset="0"/>
            <a:cs typeface="Arial" panose="020B0604020202020204" pitchFamily="34" charset="0"/>
          </a:endParaRPr>
        </a:p>
        <a:p>
          <a:pPr algn="l" rtl="0">
            <a:lnSpc>
              <a:spcPts val="700"/>
            </a:lnSpc>
            <a:defRPr sz="1000"/>
          </a:pPr>
          <a:endParaRPr lang="en-US" sz="900" b="0" i="0" strike="noStrike">
            <a:solidFill>
              <a:srgbClr val="000000"/>
            </a:solidFill>
            <a:latin typeface="Arial"/>
            <a:cs typeface="Arial"/>
          </a:endParaRPr>
        </a:p>
      </xdr:txBody>
    </xdr:sp>
    <xdr:clientData/>
  </xdr:twoCellAnchor>
  <xdr:twoCellAnchor>
    <xdr:from>
      <xdr:col>1</xdr:col>
      <xdr:colOff>19050</xdr:colOff>
      <xdr:row>25</xdr:row>
      <xdr:rowOff>0</xdr:rowOff>
    </xdr:from>
    <xdr:to>
      <xdr:col>22</xdr:col>
      <xdr:colOff>0</xdr:colOff>
      <xdr:row>27</xdr:row>
      <xdr:rowOff>114300</xdr:rowOff>
    </xdr:to>
    <xdr:sp macro="" textlink="">
      <xdr:nvSpPr>
        <xdr:cNvPr id="24630" name="Text Box 2">
          <a:extLst>
            <a:ext uri="{FF2B5EF4-FFF2-40B4-BE49-F238E27FC236}">
              <a16:creationId xmlns:a16="http://schemas.microsoft.com/office/drawing/2014/main" id="{00000000-0008-0000-1600-000036600000}"/>
            </a:ext>
          </a:extLst>
        </xdr:cNvPr>
        <xdr:cNvSpPr txBox="1">
          <a:spLocks noChangeArrowheads="1"/>
        </xdr:cNvSpPr>
      </xdr:nvSpPr>
      <xdr:spPr bwMode="auto">
        <a:xfrm>
          <a:off x="19050" y="7524750"/>
          <a:ext cx="9267825" cy="4953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a:cs typeface="Arial"/>
            </a:rPr>
            <a:t>Based on your </a:t>
          </a:r>
          <a:r>
            <a:rPr lang="en-US" sz="900" b="1" i="1" u="sng" strike="noStrike">
              <a:solidFill>
                <a:srgbClr val="000000"/>
              </a:solidFill>
              <a:latin typeface="Arial"/>
              <a:cs typeface="Arial"/>
            </a:rPr>
            <a:t>professional judgement</a:t>
          </a:r>
          <a:r>
            <a:rPr lang="en-US" sz="900" b="0" i="0" strike="noStrike">
              <a:solidFill>
                <a:srgbClr val="000000"/>
              </a:solidFill>
              <a:latin typeface="Arial"/>
              <a:cs typeface="Arial"/>
            </a:rPr>
            <a:t>, are you aware of any currently known facts, decisions, or conditions that are expected to significantly impact the State's finances in the future (e.g., approved changes in fees/tax rates, new programs, legislative changes, economic/demographic factors, etc.)?  If so, indicate below and provide supporting documentation as necessary in the attached </a:t>
          </a:r>
          <a:r>
            <a:rPr lang="en-US" sz="900" b="1" i="0" strike="noStrike">
              <a:solidFill>
                <a:srgbClr val="000000"/>
              </a:solidFill>
              <a:latin typeface="Arial"/>
              <a:cs typeface="Arial"/>
            </a:rPr>
            <a:t>CAFR Package Narratives</a:t>
          </a:r>
          <a:r>
            <a:rPr lang="en-US" sz="900" b="0" i="0" strike="noStrike">
              <a:solidFill>
                <a:srgbClr val="000000"/>
              </a:solidFill>
              <a:latin typeface="Arial"/>
              <a:cs typeface="Arial"/>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SD/19CAFR/Packages/SIG/2019NCASex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
      <sheetName val="Pkg Updates"/>
      <sheetName val="Index"/>
      <sheetName val="101"/>
      <sheetName val="105"/>
      <sheetName val="110"/>
      <sheetName val="120"/>
      <sheetName val="201"/>
      <sheetName val="202"/>
      <sheetName val="203"/>
      <sheetName val="204"/>
      <sheetName val="210"/>
      <sheetName val="215"/>
      <sheetName val="220"/>
      <sheetName val="301"/>
      <sheetName val="305"/>
      <sheetName val="310"/>
      <sheetName val="315"/>
      <sheetName val="320"/>
      <sheetName val="322"/>
      <sheetName val="325"/>
      <sheetName val="330"/>
      <sheetName val="338"/>
      <sheetName val="340"/>
      <sheetName val="341"/>
      <sheetName val="342"/>
      <sheetName val="345"/>
      <sheetName val="350"/>
      <sheetName val="355"/>
      <sheetName val="365"/>
      <sheetName val="370"/>
      <sheetName val="401"/>
      <sheetName val="405"/>
      <sheetName val="410"/>
      <sheetName val="415"/>
      <sheetName val="420"/>
      <sheetName val="425"/>
      <sheetName val="430G"/>
      <sheetName val="430BTA"/>
      <sheetName val="431G"/>
      <sheetName val="431BTA"/>
      <sheetName val="501"/>
      <sheetName val="505"/>
      <sheetName val="510"/>
      <sheetName val="515"/>
      <sheetName val="520"/>
      <sheetName val="525"/>
      <sheetName val="530"/>
      <sheetName val="535"/>
      <sheetName val="540"/>
      <sheetName val="545"/>
      <sheetName val="550"/>
      <sheetName val="555"/>
      <sheetName val="560"/>
      <sheetName val="565"/>
      <sheetName val="570"/>
      <sheetName val="605"/>
      <sheetName val="610"/>
      <sheetName val="615"/>
      <sheetName val="616"/>
      <sheetName val="620"/>
      <sheetName val="625"/>
      <sheetName val="635"/>
      <sheetName val="640"/>
      <sheetName val="705"/>
      <sheetName val="710"/>
      <sheetName val="715"/>
      <sheetName val="720"/>
      <sheetName val="725"/>
      <sheetName val="730"/>
      <sheetName val="735"/>
      <sheetName val="740"/>
      <sheetName val="745"/>
      <sheetName val="755"/>
      <sheetName val="756"/>
      <sheetName val="760"/>
      <sheetName val="765"/>
      <sheetName val="905"/>
      <sheetName val="For 905-NCAS Acct Roll-up"/>
      <sheetName val="905Hosp"/>
      <sheetName val="906-6B"/>
      <sheetName val="906-6C"/>
      <sheetName val="906-6BC"/>
      <sheetName val="907"/>
      <sheetName val="910"/>
      <sheetName val="910Hosp"/>
      <sheetName val="911-6B"/>
      <sheetName val="911-6C"/>
      <sheetName val="Explanations"/>
      <sheetName val="Comments"/>
      <sheetName val="Agencies"/>
      <sheetName val="Functional"/>
      <sheetName val="NetPosition"/>
      <sheetName val="PriorYr905"/>
      <sheetName val="PriorYr906"/>
      <sheetName val="Data"/>
      <sheetName val="All Agencies"/>
      <sheetName val="OSC Analysts"/>
      <sheetName val="Errors"/>
      <sheetName val="Notes"/>
    </sheetNames>
    <sheetDataSet>
      <sheetData sheetId="0"/>
      <sheetData sheetId="1"/>
      <sheetData sheetId="2">
        <row r="11">
          <cell r="E11" t="str">
            <v>North Carolina General Assembly</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1" t="str">
            <v>Error Code</v>
          </cell>
          <cell r="B1" t="str">
            <v>Error Key</v>
          </cell>
          <cell r="C1"/>
          <cell r="D1" t="str">
            <v>Indicator</v>
          </cell>
          <cell r="E1" t="str">
            <v>Page</v>
          </cell>
          <cell r="F1" t="str">
            <v>Message</v>
          </cell>
          <cell r="G1" t="str">
            <v>NA</v>
          </cell>
          <cell r="H1"/>
          <cell r="I1"/>
          <cell r="J1"/>
          <cell r="K1"/>
          <cell r="L1"/>
          <cell r="M1"/>
          <cell r="N1"/>
          <cell r="O1"/>
          <cell r="P1"/>
          <cell r="Q1"/>
          <cell r="R1"/>
          <cell r="S1"/>
          <cell r="T1"/>
          <cell r="U1"/>
        </row>
        <row r="2">
          <cell r="A2" t="str">
            <v>IndexFALSE</v>
          </cell>
          <cell r="B2" t="str">
            <v>IndexaFALSE</v>
          </cell>
          <cell r="C2" t="str">
            <v>a</v>
          </cell>
          <cell r="D2" t="b">
            <v>0</v>
          </cell>
          <cell r="E2" t="str">
            <v>Index</v>
          </cell>
          <cell r="F2" t="str">
            <v>Invalid filename</v>
          </cell>
          <cell r="G2"/>
          <cell r="H2" t="str">
            <v>2019NCASexcl.xlsx</v>
          </cell>
          <cell r="I2" t="str">
            <v>01p.xlsx</v>
          </cell>
          <cell r="J2"/>
          <cell r="K2"/>
          <cell r="L2"/>
          <cell r="M2"/>
          <cell r="N2"/>
          <cell r="O2"/>
          <cell r="P2"/>
          <cell r="Q2" t="b">
            <v>0</v>
          </cell>
          <cell r="R2"/>
          <cell r="S2"/>
          <cell r="T2"/>
          <cell r="U2"/>
        </row>
        <row r="3">
          <cell r="A3" t="str">
            <v>201FALSE</v>
          </cell>
          <cell r="B3" t="str">
            <v>201aFALSE</v>
          </cell>
          <cell r="C3" t="str">
            <v>a</v>
          </cell>
          <cell r="D3" t="b">
            <v>0</v>
          </cell>
          <cell r="E3">
            <v>201</v>
          </cell>
          <cell r="F3" t="str">
            <v>GASB number is blank.</v>
          </cell>
          <cell r="G3">
            <v>0</v>
          </cell>
          <cell r="H3" t="b">
            <v>1</v>
          </cell>
          <cell r="I3"/>
          <cell r="J3"/>
          <cell r="K3"/>
          <cell r="L3"/>
          <cell r="M3"/>
          <cell r="N3"/>
          <cell r="O3"/>
          <cell r="P3"/>
          <cell r="Q3" t="b">
            <v>0</v>
          </cell>
          <cell r="R3"/>
          <cell r="S3"/>
          <cell r="T3"/>
          <cell r="U3"/>
        </row>
        <row r="4">
          <cell r="A4" t="str">
            <v>201TRUE</v>
          </cell>
          <cell r="B4" t="str">
            <v>201bTRUE</v>
          </cell>
          <cell r="C4" t="str">
            <v>b</v>
          </cell>
          <cell r="D4" t="b">
            <v>1</v>
          </cell>
          <cell r="E4">
            <v>201</v>
          </cell>
          <cell r="F4" t="str">
            <v>Decrease in CIP column does not net to zero.</v>
          </cell>
          <cell r="G4">
            <v>0</v>
          </cell>
          <cell r="H4">
            <v>0</v>
          </cell>
          <cell r="I4"/>
          <cell r="J4"/>
          <cell r="K4"/>
          <cell r="L4"/>
          <cell r="M4"/>
          <cell r="N4"/>
          <cell r="O4"/>
          <cell r="P4"/>
          <cell r="Q4" t="b">
            <v>1</v>
          </cell>
          <cell r="R4"/>
          <cell r="S4"/>
          <cell r="T4"/>
          <cell r="U4"/>
        </row>
        <row r="5">
          <cell r="A5" t="str">
            <v>210FALSE</v>
          </cell>
          <cell r="B5" t="str">
            <v>210aFALSE</v>
          </cell>
          <cell r="C5" t="str">
            <v>a</v>
          </cell>
          <cell r="D5" t="b">
            <v>0</v>
          </cell>
          <cell r="E5">
            <v>210</v>
          </cell>
          <cell r="F5" t="str">
            <v>GASB number is blank.</v>
          </cell>
          <cell r="G5">
            <v>0</v>
          </cell>
          <cell r="H5" t="b">
            <v>1</v>
          </cell>
          <cell r="I5"/>
          <cell r="J5"/>
          <cell r="K5"/>
          <cell r="L5"/>
          <cell r="M5"/>
          <cell r="N5"/>
          <cell r="O5"/>
          <cell r="P5"/>
          <cell r="Q5" t="b">
            <v>0</v>
          </cell>
          <cell r="R5"/>
          <cell r="S5"/>
          <cell r="T5"/>
          <cell r="U5"/>
        </row>
        <row r="6">
          <cell r="A6" t="str">
            <v>301TRUE</v>
          </cell>
          <cell r="B6" t="str">
            <v>301bTRUE</v>
          </cell>
          <cell r="C6" t="str">
            <v>b</v>
          </cell>
          <cell r="D6" t="b">
            <v>1</v>
          </cell>
          <cell r="E6">
            <v>301</v>
          </cell>
          <cell r="F6" t="str">
            <v>If capital lease payments are listed, then Section II must be completed.</v>
          </cell>
          <cell r="G6">
            <v>0</v>
          </cell>
          <cell r="H6">
            <v>0</v>
          </cell>
          <cell r="I6">
            <v>0</v>
          </cell>
          <cell r="J6"/>
          <cell r="K6"/>
          <cell r="L6"/>
          <cell r="M6"/>
          <cell r="N6"/>
          <cell r="O6"/>
          <cell r="P6"/>
          <cell r="Q6" t="b">
            <v>1</v>
          </cell>
          <cell r="R6"/>
          <cell r="S6" t="b">
            <v>0</v>
          </cell>
          <cell r="T6" t="b">
            <v>0</v>
          </cell>
          <cell r="U6"/>
        </row>
        <row r="7">
          <cell r="A7" t="str">
            <v>305TRUE</v>
          </cell>
          <cell r="B7" t="str">
            <v>305aTRUE</v>
          </cell>
          <cell r="C7" t="str">
            <v>a</v>
          </cell>
          <cell r="D7" t="b">
            <v>1</v>
          </cell>
          <cell r="E7">
            <v>305</v>
          </cell>
          <cell r="F7" t="str">
            <v>Compensated absences must have additions and deletions.</v>
          </cell>
          <cell r="G7">
            <v>0</v>
          </cell>
          <cell r="H7">
            <v>0</v>
          </cell>
          <cell r="I7">
            <v>0</v>
          </cell>
          <cell r="J7">
            <v>0</v>
          </cell>
          <cell r="K7">
            <v>0</v>
          </cell>
          <cell r="L7"/>
          <cell r="M7"/>
          <cell r="N7"/>
          <cell r="O7"/>
          <cell r="P7"/>
          <cell r="Q7" t="b">
            <v>1</v>
          </cell>
          <cell r="R7"/>
          <cell r="S7" t="b">
            <v>1</v>
          </cell>
          <cell r="T7" t="b">
            <v>0</v>
          </cell>
          <cell r="U7"/>
        </row>
        <row r="8">
          <cell r="A8" t="str">
            <v>305FALSE</v>
          </cell>
          <cell r="B8" t="str">
            <v>305bFALSE</v>
          </cell>
          <cell r="C8" t="str">
            <v>b</v>
          </cell>
          <cell r="D8" t="b">
            <v>0</v>
          </cell>
          <cell r="E8">
            <v>305</v>
          </cell>
          <cell r="F8" t="str">
            <v>GASB number is blank.</v>
          </cell>
          <cell r="G8">
            <v>0</v>
          </cell>
          <cell r="H8" t="b">
            <v>1</v>
          </cell>
          <cell r="I8"/>
          <cell r="J8"/>
          <cell r="K8"/>
          <cell r="L8"/>
          <cell r="M8"/>
          <cell r="N8"/>
          <cell r="O8"/>
          <cell r="P8"/>
          <cell r="Q8" t="b">
            <v>0</v>
          </cell>
          <cell r="R8"/>
          <cell r="S8"/>
          <cell r="T8"/>
          <cell r="U8"/>
        </row>
        <row r="9">
          <cell r="A9" t="str">
            <v>310FALSE</v>
          </cell>
          <cell r="B9" t="str">
            <v>310aFALSE</v>
          </cell>
          <cell r="C9" t="str">
            <v>a</v>
          </cell>
          <cell r="D9" t="b">
            <v>0</v>
          </cell>
          <cell r="E9">
            <v>310</v>
          </cell>
          <cell r="F9" t="str">
            <v>Compensated absences must have additions and deletions.</v>
          </cell>
          <cell r="G9">
            <v>0</v>
          </cell>
          <cell r="H9" t="str">
            <v/>
          </cell>
          <cell r="I9">
            <v>0</v>
          </cell>
          <cell r="J9">
            <v>0</v>
          </cell>
          <cell r="K9">
            <v>0</v>
          </cell>
          <cell r="L9"/>
          <cell r="M9"/>
          <cell r="N9"/>
          <cell r="O9"/>
          <cell r="P9"/>
          <cell r="Q9" t="b">
            <v>0</v>
          </cell>
          <cell r="R9"/>
          <cell r="S9" t="b">
            <v>0</v>
          </cell>
          <cell r="T9" t="b">
            <v>0</v>
          </cell>
          <cell r="U9"/>
        </row>
        <row r="10">
          <cell r="A10" t="str">
            <v>310FALSE</v>
          </cell>
          <cell r="B10" t="str">
            <v>310bFALSE</v>
          </cell>
          <cell r="C10" t="str">
            <v>b</v>
          </cell>
          <cell r="D10" t="b">
            <v>0</v>
          </cell>
          <cell r="E10">
            <v>310</v>
          </cell>
          <cell r="F10" t="str">
            <v>GASB number is blank.</v>
          </cell>
          <cell r="G10">
            <v>0</v>
          </cell>
          <cell r="H10" t="b">
            <v>1</v>
          </cell>
          <cell r="I10"/>
          <cell r="J10"/>
          <cell r="K10"/>
          <cell r="L10"/>
          <cell r="M10"/>
          <cell r="N10"/>
          <cell r="O10"/>
          <cell r="P10"/>
          <cell r="Q10" t="b">
            <v>0</v>
          </cell>
          <cell r="R10"/>
          <cell r="S10"/>
          <cell r="T10"/>
          <cell r="U10"/>
        </row>
        <row r="11">
          <cell r="A11" t="str">
            <v>315TRUE</v>
          </cell>
          <cell r="B11" t="str">
            <v>315bTRUE</v>
          </cell>
          <cell r="C11" t="str">
            <v>b</v>
          </cell>
          <cell r="D11" t="b">
            <v>1</v>
          </cell>
          <cell r="E11">
            <v>315</v>
          </cell>
          <cell r="F11" t="str">
            <v>Interest rate range is invalid.</v>
          </cell>
          <cell r="G11">
            <v>0</v>
          </cell>
          <cell r="H11">
            <v>0</v>
          </cell>
          <cell r="I11">
            <v>0</v>
          </cell>
          <cell r="J11"/>
          <cell r="K11"/>
          <cell r="L11"/>
          <cell r="M11"/>
          <cell r="N11"/>
          <cell r="O11"/>
          <cell r="P11"/>
          <cell r="Q11" t="b">
            <v>1</v>
          </cell>
          <cell r="R11"/>
          <cell r="S11"/>
          <cell r="T11"/>
          <cell r="U11"/>
        </row>
        <row r="12">
          <cell r="A12" t="str">
            <v>315TRUE</v>
          </cell>
          <cell r="B12" t="str">
            <v>315cTRUE</v>
          </cell>
          <cell r="C12" t="str">
            <v>c</v>
          </cell>
          <cell r="D12" t="b">
            <v>1</v>
          </cell>
          <cell r="E12">
            <v>315</v>
          </cell>
          <cell r="F12" t="str">
            <v>More than one type of payable has been selected.</v>
          </cell>
          <cell r="G12">
            <v>0</v>
          </cell>
          <cell r="H12">
            <v>0</v>
          </cell>
          <cell r="I12" t="b">
            <v>1</v>
          </cell>
          <cell r="J12" t="b">
            <v>1</v>
          </cell>
          <cell r="K12" t="b">
            <v>1</v>
          </cell>
          <cell r="L12" t="b">
            <v>1</v>
          </cell>
          <cell r="M12" t="b">
            <v>1</v>
          </cell>
          <cell r="N12" t="b">
            <v>1</v>
          </cell>
          <cell r="O12" t="b">
            <v>1</v>
          </cell>
          <cell r="P12"/>
          <cell r="Q12" t="b">
            <v>1</v>
          </cell>
          <cell r="R12"/>
          <cell r="S12">
            <v>6</v>
          </cell>
          <cell r="T12"/>
          <cell r="U12"/>
        </row>
        <row r="13">
          <cell r="A13" t="str">
            <v>315FALSE</v>
          </cell>
          <cell r="B13" t="str">
            <v>315dFALSE</v>
          </cell>
          <cell r="C13" t="str">
            <v>d</v>
          </cell>
          <cell r="D13" t="b">
            <v>0</v>
          </cell>
          <cell r="E13">
            <v>315</v>
          </cell>
          <cell r="F13" t="str">
            <v>Original issue amount is blank.</v>
          </cell>
          <cell r="G13">
            <v>0</v>
          </cell>
          <cell r="H13">
            <v>0</v>
          </cell>
          <cell r="I13" t="b">
            <v>1</v>
          </cell>
          <cell r="J13"/>
          <cell r="K13"/>
          <cell r="L13"/>
          <cell r="M13"/>
          <cell r="N13"/>
          <cell r="O13"/>
          <cell r="P13"/>
          <cell r="Q13" t="b">
            <v>0</v>
          </cell>
          <cell r="R13"/>
          <cell r="S13"/>
          <cell r="T13"/>
          <cell r="U13"/>
        </row>
        <row r="14">
          <cell r="A14" t="str">
            <v>315FALSE</v>
          </cell>
          <cell r="B14" t="str">
            <v>315eFALSE</v>
          </cell>
          <cell r="C14" t="str">
            <v>e</v>
          </cell>
          <cell r="D14" t="b">
            <v>0</v>
          </cell>
          <cell r="E14">
            <v>315</v>
          </cell>
          <cell r="F14" t="str">
            <v>"From" interest rate is blank.</v>
          </cell>
          <cell r="G14">
            <v>0</v>
          </cell>
          <cell r="H14">
            <v>0</v>
          </cell>
          <cell r="I14" t="b">
            <v>1</v>
          </cell>
          <cell r="J14"/>
          <cell r="K14"/>
          <cell r="L14"/>
          <cell r="M14"/>
          <cell r="N14"/>
          <cell r="O14"/>
          <cell r="P14"/>
          <cell r="Q14" t="b">
            <v>0</v>
          </cell>
          <cell r="R14"/>
          <cell r="S14"/>
          <cell r="T14"/>
          <cell r="U14"/>
        </row>
        <row r="15">
          <cell r="A15" t="str">
            <v>315FALSE</v>
          </cell>
          <cell r="B15" t="str">
            <v>315fFALSE</v>
          </cell>
          <cell r="C15" t="str">
            <v>f</v>
          </cell>
          <cell r="D15" t="b">
            <v>0</v>
          </cell>
          <cell r="E15">
            <v>315</v>
          </cell>
          <cell r="F15" t="str">
            <v>"To" interest rate is blank.</v>
          </cell>
          <cell r="G15">
            <v>0</v>
          </cell>
          <cell r="H15">
            <v>0</v>
          </cell>
          <cell r="I15" t="b">
            <v>1</v>
          </cell>
          <cell r="J15"/>
          <cell r="K15"/>
          <cell r="L15"/>
          <cell r="M15"/>
          <cell r="N15"/>
          <cell r="O15"/>
          <cell r="P15"/>
          <cell r="Q15" t="b">
            <v>0</v>
          </cell>
          <cell r="R15"/>
          <cell r="S15"/>
          <cell r="T15"/>
          <cell r="U15"/>
        </row>
        <row r="16">
          <cell r="A16" t="str">
            <v>315FALSE</v>
          </cell>
          <cell r="B16" t="str">
            <v>315gFALSE</v>
          </cell>
          <cell r="C16" t="str">
            <v>g</v>
          </cell>
          <cell r="D16" t="b">
            <v>0</v>
          </cell>
          <cell r="E16">
            <v>315</v>
          </cell>
          <cell r="F16" t="str">
            <v>Final maturity date is blank.</v>
          </cell>
          <cell r="G16">
            <v>0</v>
          </cell>
          <cell r="H16">
            <v>0</v>
          </cell>
          <cell r="I16" t="b">
            <v>1</v>
          </cell>
          <cell r="J16"/>
          <cell r="K16"/>
          <cell r="L16"/>
          <cell r="M16"/>
          <cell r="N16"/>
          <cell r="O16"/>
          <cell r="P16"/>
          <cell r="Q16" t="b">
            <v>0</v>
          </cell>
          <cell r="R16"/>
          <cell r="S16"/>
          <cell r="T16"/>
          <cell r="U16"/>
        </row>
        <row r="17">
          <cell r="A17" t="str">
            <v>320TRUE</v>
          </cell>
          <cell r="B17" t="str">
            <v>320bTRUE</v>
          </cell>
          <cell r="C17" t="str">
            <v>b</v>
          </cell>
          <cell r="D17" t="b">
            <v>1</v>
          </cell>
          <cell r="E17">
            <v>320</v>
          </cell>
          <cell r="F17" t="str">
            <v>Interest rate range is invalid.</v>
          </cell>
          <cell r="G17">
            <v>0</v>
          </cell>
          <cell r="H17">
            <v>0</v>
          </cell>
          <cell r="I17">
            <v>0</v>
          </cell>
          <cell r="J17"/>
          <cell r="K17"/>
          <cell r="L17"/>
          <cell r="M17"/>
          <cell r="N17"/>
          <cell r="O17"/>
          <cell r="P17"/>
          <cell r="Q17" t="b">
            <v>1</v>
          </cell>
          <cell r="R17"/>
          <cell r="S17"/>
          <cell r="T17"/>
          <cell r="U17"/>
        </row>
        <row r="18">
          <cell r="A18" t="str">
            <v>320TRUE</v>
          </cell>
          <cell r="B18" t="str">
            <v>320cTRUE</v>
          </cell>
          <cell r="C18" t="str">
            <v>c</v>
          </cell>
          <cell r="D18" t="b">
            <v>1</v>
          </cell>
          <cell r="E18">
            <v>320</v>
          </cell>
          <cell r="F18" t="str">
            <v>More than one type of payable has been selected.</v>
          </cell>
          <cell r="G18">
            <v>0</v>
          </cell>
          <cell r="H18">
            <v>0</v>
          </cell>
          <cell r="I18" t="b">
            <v>1</v>
          </cell>
          <cell r="J18" t="b">
            <v>1</v>
          </cell>
          <cell r="K18" t="b">
            <v>1</v>
          </cell>
          <cell r="L18" t="b">
            <v>1</v>
          </cell>
          <cell r="M18" t="b">
            <v>1</v>
          </cell>
          <cell r="N18" t="b">
            <v>1</v>
          </cell>
          <cell r="O18"/>
          <cell r="P18" t="b">
            <v>0</v>
          </cell>
          <cell r="Q18" t="b">
            <v>1</v>
          </cell>
          <cell r="R18"/>
          <cell r="S18">
            <v>5</v>
          </cell>
          <cell r="T18"/>
          <cell r="U18"/>
        </row>
        <row r="19">
          <cell r="A19" t="str">
            <v>320FALSE</v>
          </cell>
          <cell r="B19" t="str">
            <v>320dFALSE</v>
          </cell>
          <cell r="C19" t="str">
            <v>d</v>
          </cell>
          <cell r="D19" t="b">
            <v>0</v>
          </cell>
          <cell r="E19">
            <v>320</v>
          </cell>
          <cell r="F19" t="str">
            <v>Original issue amount is blank.</v>
          </cell>
          <cell r="G19">
            <v>0</v>
          </cell>
          <cell r="H19">
            <v>0</v>
          </cell>
          <cell r="I19" t="b">
            <v>1</v>
          </cell>
          <cell r="J19"/>
          <cell r="K19"/>
          <cell r="L19"/>
          <cell r="M19"/>
          <cell r="N19"/>
          <cell r="O19"/>
          <cell r="P19"/>
          <cell r="Q19" t="b">
            <v>0</v>
          </cell>
          <cell r="R19"/>
          <cell r="S19"/>
          <cell r="T19"/>
          <cell r="U19"/>
        </row>
        <row r="20">
          <cell r="A20" t="str">
            <v>320FALSE</v>
          </cell>
          <cell r="B20" t="str">
            <v>320eFALSE</v>
          </cell>
          <cell r="C20" t="str">
            <v>e</v>
          </cell>
          <cell r="D20" t="b">
            <v>0</v>
          </cell>
          <cell r="E20">
            <v>320</v>
          </cell>
          <cell r="F20" t="str">
            <v>"From" interest rate is blank.</v>
          </cell>
          <cell r="G20">
            <v>0</v>
          </cell>
          <cell r="H20">
            <v>0</v>
          </cell>
          <cell r="I20" t="b">
            <v>1</v>
          </cell>
          <cell r="J20"/>
          <cell r="K20"/>
          <cell r="L20"/>
          <cell r="M20"/>
          <cell r="N20"/>
          <cell r="O20"/>
          <cell r="P20"/>
          <cell r="Q20" t="b">
            <v>0</v>
          </cell>
          <cell r="R20"/>
          <cell r="S20"/>
          <cell r="T20"/>
          <cell r="U20"/>
        </row>
        <row r="21">
          <cell r="A21" t="str">
            <v>320FALSE</v>
          </cell>
          <cell r="B21" t="str">
            <v>320fFALSE</v>
          </cell>
          <cell r="C21" t="str">
            <v>f</v>
          </cell>
          <cell r="D21" t="b">
            <v>0</v>
          </cell>
          <cell r="E21">
            <v>320</v>
          </cell>
          <cell r="F21" t="str">
            <v>"To" interest rate is blank.</v>
          </cell>
          <cell r="G21">
            <v>0</v>
          </cell>
          <cell r="H21">
            <v>0</v>
          </cell>
          <cell r="I21" t="b">
            <v>1</v>
          </cell>
          <cell r="J21"/>
          <cell r="K21"/>
          <cell r="L21"/>
          <cell r="M21"/>
          <cell r="N21"/>
          <cell r="O21"/>
          <cell r="P21"/>
          <cell r="Q21" t="b">
            <v>0</v>
          </cell>
          <cell r="R21"/>
          <cell r="S21"/>
          <cell r="T21"/>
          <cell r="U21"/>
        </row>
        <row r="22">
          <cell r="A22" t="str">
            <v>320FALSE</v>
          </cell>
          <cell r="B22" t="str">
            <v>320gFALSE</v>
          </cell>
          <cell r="C22" t="str">
            <v>g</v>
          </cell>
          <cell r="D22" t="b">
            <v>0</v>
          </cell>
          <cell r="E22">
            <v>320</v>
          </cell>
          <cell r="F22" t="str">
            <v>Final maturity date is blank.</v>
          </cell>
          <cell r="G22">
            <v>0</v>
          </cell>
          <cell r="H22">
            <v>0</v>
          </cell>
          <cell r="I22" t="b">
            <v>1</v>
          </cell>
          <cell r="J22"/>
          <cell r="K22"/>
          <cell r="L22"/>
          <cell r="M22"/>
          <cell r="N22"/>
          <cell r="O22"/>
          <cell r="P22"/>
          <cell r="Q22" t="b">
            <v>0</v>
          </cell>
          <cell r="R22"/>
          <cell r="S22"/>
          <cell r="T22"/>
          <cell r="U22"/>
        </row>
        <row r="23">
          <cell r="A23" t="str">
            <v>325FALSE</v>
          </cell>
          <cell r="B23" t="str">
            <v>325aFALSE</v>
          </cell>
          <cell r="C23" t="str">
            <v>a</v>
          </cell>
          <cell r="D23" t="b">
            <v>0</v>
          </cell>
          <cell r="E23">
            <v>325</v>
          </cell>
          <cell r="F23" t="str">
            <v>GASB number is blank.</v>
          </cell>
          <cell r="G23">
            <v>0</v>
          </cell>
          <cell r="H23" t="b">
            <v>1</v>
          </cell>
          <cell r="I23"/>
          <cell r="J23"/>
          <cell r="K23"/>
          <cell r="L23"/>
          <cell r="M23"/>
          <cell r="N23"/>
          <cell r="O23"/>
          <cell r="P23"/>
          <cell r="Q23" t="b">
            <v>0</v>
          </cell>
          <cell r="R23"/>
          <cell r="S23"/>
          <cell r="T23"/>
          <cell r="U23"/>
        </row>
        <row r="24">
          <cell r="A24" t="str">
            <v>345FALSE</v>
          </cell>
          <cell r="B24" t="str">
            <v>345aFALSE</v>
          </cell>
          <cell r="C24" t="str">
            <v>a</v>
          </cell>
          <cell r="D24" t="b">
            <v>0</v>
          </cell>
          <cell r="E24">
            <v>345</v>
          </cell>
          <cell r="F24" t="str">
            <v>All questions have not been answered.</v>
          </cell>
          <cell r="G24">
            <v>0</v>
          </cell>
          <cell r="H24" t="b">
            <v>1</v>
          </cell>
          <cell r="I24" t="b">
            <v>1</v>
          </cell>
          <cell r="J24" t="b">
            <v>1</v>
          </cell>
          <cell r="K24" t="b">
            <v>1</v>
          </cell>
          <cell r="L24" t="b">
            <v>1</v>
          </cell>
          <cell r="M24" t="b">
            <v>1</v>
          </cell>
          <cell r="N24"/>
          <cell r="O24"/>
          <cell r="P24"/>
          <cell r="Q24" t="b">
            <v>0</v>
          </cell>
          <cell r="R24"/>
          <cell r="S24" t="b">
            <v>1</v>
          </cell>
          <cell r="T24" t="b">
            <v>1</v>
          </cell>
          <cell r="U24" t="b">
            <v>1</v>
          </cell>
        </row>
        <row r="25">
          <cell r="A25" t="str">
            <v>355FALSE</v>
          </cell>
          <cell r="B25" t="str">
            <v>355aFALSE</v>
          </cell>
          <cell r="C25" t="str">
            <v>a</v>
          </cell>
          <cell r="D25" t="b">
            <v>0</v>
          </cell>
          <cell r="E25">
            <v>355</v>
          </cell>
          <cell r="F25" t="str">
            <v>All questions have not been answered.</v>
          </cell>
          <cell r="G25">
            <v>0</v>
          </cell>
          <cell r="H25" t="b">
            <v>1</v>
          </cell>
          <cell r="I25" t="b">
            <v>1</v>
          </cell>
          <cell r="J25" t="b">
            <v>1</v>
          </cell>
          <cell r="K25" t="b">
            <v>1</v>
          </cell>
          <cell r="L25"/>
          <cell r="M25"/>
          <cell r="N25"/>
          <cell r="O25"/>
          <cell r="P25"/>
          <cell r="Q25" t="b">
            <v>0</v>
          </cell>
          <cell r="R25"/>
          <cell r="S25" t="b">
            <v>1</v>
          </cell>
          <cell r="T25" t="b">
            <v>1</v>
          </cell>
          <cell r="U25"/>
        </row>
        <row r="26">
          <cell r="A26" t="e">
            <v>#REF!</v>
          </cell>
          <cell r="B26" t="e">
            <v>#REF!</v>
          </cell>
          <cell r="C26" t="str">
            <v>b</v>
          </cell>
          <cell r="D26" t="e">
            <v>#REF!</v>
          </cell>
          <cell r="E26">
            <v>420</v>
          </cell>
          <cell r="F26" t="str">
            <v>Total Expendable and Nonexpendable amount does not match the total of the Restricted Net Position column.</v>
          </cell>
          <cell r="G26">
            <v>0</v>
          </cell>
          <cell r="H26">
            <v>0</v>
          </cell>
          <cell r="I26" t="e">
            <v>#REF!</v>
          </cell>
          <cell r="J26"/>
          <cell r="K26"/>
          <cell r="L26"/>
          <cell r="M26"/>
          <cell r="N26"/>
          <cell r="O26"/>
          <cell r="P26"/>
          <cell r="Q26" t="e">
            <v>#REF!</v>
          </cell>
          <cell r="R26"/>
          <cell r="S26" t="e">
            <v>#REF!</v>
          </cell>
          <cell r="T26"/>
          <cell r="U26"/>
        </row>
        <row r="27">
          <cell r="A27" t="str">
            <v>501TRUE</v>
          </cell>
          <cell r="B27" t="str">
            <v>501aTRUE</v>
          </cell>
          <cell r="C27" t="str">
            <v>a</v>
          </cell>
          <cell r="D27" t="b">
            <v>1</v>
          </cell>
          <cell r="E27">
            <v>501</v>
          </cell>
          <cell r="F27" t="str">
            <v>Worksheet is out of balance.</v>
          </cell>
          <cell r="G27">
            <v>0</v>
          </cell>
          <cell r="H27">
            <v>0</v>
          </cell>
          <cell r="I27"/>
          <cell r="J27"/>
          <cell r="K27"/>
          <cell r="L27"/>
          <cell r="M27"/>
          <cell r="N27"/>
          <cell r="O27"/>
          <cell r="P27"/>
          <cell r="Q27" t="b">
            <v>1</v>
          </cell>
          <cell r="R27"/>
          <cell r="S27"/>
          <cell r="T27"/>
          <cell r="U27"/>
        </row>
        <row r="28">
          <cell r="A28" t="str">
            <v>501TRUE</v>
          </cell>
          <cell r="B28" t="str">
            <v>501bTRUE</v>
          </cell>
          <cell r="C28" t="str">
            <v>b</v>
          </cell>
          <cell r="D28" t="b">
            <v>1</v>
          </cell>
          <cell r="E28">
            <v>501</v>
          </cell>
          <cell r="F28" t="str">
            <v>One or more lines are incomplete.  See lines marked *.</v>
          </cell>
          <cell r="G28">
            <v>0</v>
          </cell>
          <cell r="H28">
            <v>0</v>
          </cell>
          <cell r="I28"/>
          <cell r="J28"/>
          <cell r="K28"/>
          <cell r="L28"/>
          <cell r="M28"/>
          <cell r="N28"/>
          <cell r="O28"/>
          <cell r="P28"/>
          <cell r="Q28" t="b">
            <v>1</v>
          </cell>
          <cell r="R28"/>
          <cell r="S28"/>
          <cell r="T28"/>
          <cell r="U28"/>
        </row>
        <row r="29">
          <cell r="A29" t="str">
            <v>505FALSE</v>
          </cell>
          <cell r="B29" t="str">
            <v>505aFALSE</v>
          </cell>
          <cell r="C29" t="str">
            <v>a</v>
          </cell>
          <cell r="D29" t="b">
            <v>0</v>
          </cell>
          <cell r="E29">
            <v>505</v>
          </cell>
          <cell r="F29" t="str">
            <v>GASB number is blank.</v>
          </cell>
          <cell r="G29">
            <v>0</v>
          </cell>
          <cell r="H29" t="b">
            <v>1</v>
          </cell>
          <cell r="I29"/>
          <cell r="J29"/>
          <cell r="K29"/>
          <cell r="L29"/>
          <cell r="M29"/>
          <cell r="N29"/>
          <cell r="O29"/>
          <cell r="P29"/>
          <cell r="Q29" t="b">
            <v>0</v>
          </cell>
          <cell r="R29"/>
          <cell r="S29"/>
          <cell r="T29"/>
          <cell r="U29"/>
        </row>
        <row r="30">
          <cell r="A30" t="str">
            <v>510FALSE</v>
          </cell>
          <cell r="B30" t="str">
            <v>510aFALSE</v>
          </cell>
          <cell r="C30" t="str">
            <v>a</v>
          </cell>
          <cell r="D30" t="b">
            <v>0</v>
          </cell>
          <cell r="E30">
            <v>510</v>
          </cell>
          <cell r="F30" t="str">
            <v>GASB number is blank.</v>
          </cell>
          <cell r="G30">
            <v>0</v>
          </cell>
          <cell r="H30" t="b">
            <v>1</v>
          </cell>
          <cell r="I30"/>
          <cell r="J30"/>
          <cell r="K30"/>
          <cell r="L30"/>
          <cell r="M30"/>
          <cell r="N30"/>
          <cell r="O30"/>
          <cell r="P30"/>
          <cell r="Q30" t="b">
            <v>0</v>
          </cell>
          <cell r="R30"/>
          <cell r="S30"/>
          <cell r="T30"/>
          <cell r="U30"/>
        </row>
        <row r="31">
          <cell r="A31" t="str">
            <v>515FALSE</v>
          </cell>
          <cell r="B31" t="str">
            <v>515aFALSE</v>
          </cell>
          <cell r="C31" t="str">
            <v>a</v>
          </cell>
          <cell r="D31" t="b">
            <v>0</v>
          </cell>
          <cell r="E31">
            <v>515</v>
          </cell>
          <cell r="F31" t="str">
            <v>GASB number is blank.</v>
          </cell>
          <cell r="G31">
            <v>0</v>
          </cell>
          <cell r="H31" t="b">
            <v>1</v>
          </cell>
          <cell r="I31"/>
          <cell r="J31"/>
          <cell r="K31"/>
          <cell r="L31"/>
          <cell r="M31"/>
          <cell r="N31"/>
          <cell r="O31"/>
          <cell r="P31"/>
          <cell r="Q31" t="b">
            <v>0</v>
          </cell>
          <cell r="R31"/>
          <cell r="S31"/>
          <cell r="T31"/>
          <cell r="U31"/>
        </row>
        <row r="32">
          <cell r="A32" t="str">
            <v>520FALSE</v>
          </cell>
          <cell r="B32" t="str">
            <v>520aFALSE</v>
          </cell>
          <cell r="C32" t="str">
            <v>a</v>
          </cell>
          <cell r="D32" t="b">
            <v>0</v>
          </cell>
          <cell r="E32">
            <v>520</v>
          </cell>
          <cell r="F32" t="str">
            <v>GASB number is blank.</v>
          </cell>
          <cell r="G32">
            <v>0</v>
          </cell>
          <cell r="H32" t="b">
            <v>1</v>
          </cell>
          <cell r="I32"/>
          <cell r="J32"/>
          <cell r="K32"/>
          <cell r="L32"/>
          <cell r="M32"/>
          <cell r="N32"/>
          <cell r="O32"/>
          <cell r="P32"/>
          <cell r="Q32" t="b">
            <v>0</v>
          </cell>
          <cell r="R32"/>
          <cell r="S32"/>
          <cell r="T32"/>
          <cell r="U32"/>
        </row>
        <row r="33">
          <cell r="A33" t="str">
            <v>525FALSE</v>
          </cell>
          <cell r="B33" t="str">
            <v>525aFALSE</v>
          </cell>
          <cell r="C33" t="str">
            <v>a</v>
          </cell>
          <cell r="D33" t="b">
            <v>0</v>
          </cell>
          <cell r="E33">
            <v>525</v>
          </cell>
          <cell r="F33" t="str">
            <v>GASB number is blank.</v>
          </cell>
          <cell r="G33">
            <v>0</v>
          </cell>
          <cell r="H33" t="b">
            <v>1</v>
          </cell>
          <cell r="I33"/>
          <cell r="J33"/>
          <cell r="K33"/>
          <cell r="L33"/>
          <cell r="M33"/>
          <cell r="N33"/>
          <cell r="O33"/>
          <cell r="P33"/>
          <cell r="Q33" t="b">
            <v>0</v>
          </cell>
          <cell r="R33"/>
          <cell r="S33"/>
          <cell r="T33"/>
          <cell r="U33"/>
        </row>
        <row r="34">
          <cell r="A34" t="str">
            <v>530FALSE</v>
          </cell>
          <cell r="B34" t="str">
            <v>530aFALSE</v>
          </cell>
          <cell r="C34" t="str">
            <v>a</v>
          </cell>
          <cell r="D34" t="b">
            <v>0</v>
          </cell>
          <cell r="E34">
            <v>530</v>
          </cell>
          <cell r="F34" t="str">
            <v>GASB number is blank.</v>
          </cell>
          <cell r="G34">
            <v>0</v>
          </cell>
          <cell r="H34" t="b">
            <v>1</v>
          </cell>
          <cell r="I34"/>
          <cell r="J34"/>
          <cell r="K34"/>
          <cell r="L34"/>
          <cell r="M34"/>
          <cell r="N34"/>
          <cell r="O34"/>
          <cell r="P34"/>
          <cell r="Q34" t="b">
            <v>0</v>
          </cell>
          <cell r="R34"/>
          <cell r="S34"/>
          <cell r="T34"/>
          <cell r="U34"/>
        </row>
        <row r="35">
          <cell r="A35" t="str">
            <v>535FALSE</v>
          </cell>
          <cell r="B35" t="str">
            <v>535aFALSE</v>
          </cell>
          <cell r="C35" t="str">
            <v>a</v>
          </cell>
          <cell r="D35" t="b">
            <v>0</v>
          </cell>
          <cell r="E35">
            <v>535</v>
          </cell>
          <cell r="F35" t="str">
            <v>GASB number is blank.</v>
          </cell>
          <cell r="G35">
            <v>0</v>
          </cell>
          <cell r="H35" t="b">
            <v>1</v>
          </cell>
          <cell r="I35"/>
          <cell r="J35"/>
          <cell r="K35"/>
          <cell r="L35"/>
          <cell r="M35"/>
          <cell r="N35"/>
          <cell r="O35"/>
          <cell r="P35"/>
          <cell r="Q35" t="b">
            <v>0</v>
          </cell>
          <cell r="R35"/>
          <cell r="S35"/>
          <cell r="T35"/>
          <cell r="U35"/>
        </row>
        <row r="36">
          <cell r="A36" t="str">
            <v>535TRUE</v>
          </cell>
          <cell r="B36" t="str">
            <v>535bTRUE</v>
          </cell>
          <cell r="C36" t="str">
            <v>b</v>
          </cell>
          <cell r="D36" t="b">
            <v>1</v>
          </cell>
          <cell r="E36">
            <v>535</v>
          </cell>
          <cell r="F36" t="str">
            <v>One or more lines are incomplete.  See lines marked *.</v>
          </cell>
          <cell r="G36">
            <v>0</v>
          </cell>
          <cell r="H36">
            <v>0</v>
          </cell>
          <cell r="I36"/>
          <cell r="J36"/>
          <cell r="K36"/>
          <cell r="L36"/>
          <cell r="M36"/>
          <cell r="N36"/>
          <cell r="O36"/>
          <cell r="P36"/>
          <cell r="Q36" t="b">
            <v>1</v>
          </cell>
          <cell r="R36"/>
          <cell r="S36"/>
          <cell r="T36"/>
          <cell r="U36"/>
        </row>
        <row r="37">
          <cell r="A37" t="str">
            <v>565TRUE</v>
          </cell>
          <cell r="B37" t="str">
            <v>565aTRUE</v>
          </cell>
          <cell r="C37" t="str">
            <v>a</v>
          </cell>
          <cell r="D37" t="b">
            <v>1</v>
          </cell>
          <cell r="E37">
            <v>565</v>
          </cell>
          <cell r="F37" t="str">
            <v>Invalid NCAS account number.  See lines marked *.</v>
          </cell>
          <cell r="G37">
            <v>0</v>
          </cell>
          <cell r="H37">
            <v>0</v>
          </cell>
          <cell r="I37"/>
          <cell r="J37"/>
          <cell r="K37"/>
          <cell r="L37"/>
          <cell r="M37"/>
          <cell r="N37"/>
          <cell r="O37"/>
          <cell r="P37"/>
          <cell r="Q37" t="b">
            <v>1</v>
          </cell>
          <cell r="R37"/>
          <cell r="S37"/>
          <cell r="T37"/>
          <cell r="U37"/>
        </row>
        <row r="38">
          <cell r="A38" t="str">
            <v>565TRUE</v>
          </cell>
          <cell r="B38" t="str">
            <v>565bTRUE</v>
          </cell>
          <cell r="C38" t="str">
            <v>b</v>
          </cell>
          <cell r="D38" t="b">
            <v>1</v>
          </cell>
          <cell r="E38">
            <v>565</v>
          </cell>
          <cell r="F38" t="str">
            <v>One or more lines are incomplete.  See lines marked *.</v>
          </cell>
          <cell r="G38">
            <v>0</v>
          </cell>
          <cell r="H38">
            <v>0</v>
          </cell>
          <cell r="I38"/>
          <cell r="J38"/>
          <cell r="K38"/>
          <cell r="L38"/>
          <cell r="M38"/>
          <cell r="N38"/>
          <cell r="O38"/>
          <cell r="P38"/>
          <cell r="Q38" t="b">
            <v>1</v>
          </cell>
          <cell r="R38"/>
          <cell r="S38"/>
          <cell r="T38"/>
          <cell r="U38"/>
        </row>
        <row r="39">
          <cell r="A39" t="str">
            <v>570FALSE</v>
          </cell>
          <cell r="B39" t="str">
            <v>570aFALSE</v>
          </cell>
          <cell r="C39" t="str">
            <v>a</v>
          </cell>
          <cell r="D39" t="b">
            <v>0</v>
          </cell>
          <cell r="E39">
            <v>570</v>
          </cell>
          <cell r="F39" t="str">
            <v>GASB number is blank.</v>
          </cell>
          <cell r="G39">
            <v>0</v>
          </cell>
          <cell r="H39" t="b">
            <v>1</v>
          </cell>
          <cell r="I39"/>
          <cell r="J39"/>
          <cell r="K39"/>
          <cell r="L39"/>
          <cell r="M39"/>
          <cell r="N39"/>
          <cell r="O39"/>
          <cell r="P39"/>
          <cell r="Q39" t="b">
            <v>0</v>
          </cell>
          <cell r="R39"/>
          <cell r="S39"/>
          <cell r="T39"/>
          <cell r="U39"/>
        </row>
        <row r="40">
          <cell r="A40" t="e">
            <v>#N/A</v>
          </cell>
          <cell r="B40" t="e">
            <v>#N/A</v>
          </cell>
          <cell r="C40" t="str">
            <v>a</v>
          </cell>
          <cell r="D40" t="e">
            <v>#N/A</v>
          </cell>
          <cell r="E40">
            <v>601</v>
          </cell>
          <cell r="F40" t="str">
            <v>GASB number is blank.</v>
          </cell>
          <cell r="G40" t="e">
            <v>#N/A</v>
          </cell>
          <cell r="H40" t="b">
            <v>0</v>
          </cell>
          <cell r="I40"/>
          <cell r="J40"/>
          <cell r="K40"/>
          <cell r="L40"/>
          <cell r="M40"/>
          <cell r="N40"/>
          <cell r="O40"/>
          <cell r="P40"/>
          <cell r="Q40" t="b">
            <v>1</v>
          </cell>
          <cell r="R40"/>
          <cell r="S40"/>
          <cell r="T40"/>
          <cell r="U40"/>
        </row>
        <row r="41">
          <cell r="A41" t="e">
            <v>#N/A</v>
          </cell>
          <cell r="B41" t="e">
            <v>#N/A</v>
          </cell>
          <cell r="C41" t="str">
            <v>b</v>
          </cell>
          <cell r="D41" t="e">
            <v>#N/A</v>
          </cell>
          <cell r="E41">
            <v>601</v>
          </cell>
          <cell r="F41" t="str">
            <v>Budget code is blank.</v>
          </cell>
          <cell r="G41" t="e">
            <v>#N/A</v>
          </cell>
          <cell r="H41" t="b">
            <v>0</v>
          </cell>
          <cell r="I41"/>
          <cell r="J41"/>
          <cell r="K41"/>
          <cell r="L41"/>
          <cell r="M41"/>
          <cell r="N41"/>
          <cell r="O41"/>
          <cell r="P41"/>
          <cell r="Q41" t="b">
            <v>1</v>
          </cell>
          <cell r="R41"/>
          <cell r="S41"/>
          <cell r="T41"/>
          <cell r="U41"/>
        </row>
        <row r="42">
          <cell r="A42" t="e">
            <v>#N/A</v>
          </cell>
          <cell r="B42" t="e">
            <v>#N/A</v>
          </cell>
          <cell r="C42" t="str">
            <v>c</v>
          </cell>
          <cell r="D42" t="e">
            <v>#N/A</v>
          </cell>
          <cell r="E42">
            <v>601</v>
          </cell>
          <cell r="F42" t="str">
            <v>Worksheet is incomplete.</v>
          </cell>
          <cell r="G42" t="e">
            <v>#N/A</v>
          </cell>
          <cell r="H42" t="b">
            <v>0</v>
          </cell>
          <cell r="I42" t="b">
            <v>0</v>
          </cell>
          <cell r="J42" t="b">
            <v>0</v>
          </cell>
          <cell r="K42" t="b">
            <v>0</v>
          </cell>
          <cell r="L42" t="b">
            <v>0</v>
          </cell>
          <cell r="M42"/>
          <cell r="N42"/>
          <cell r="O42"/>
          <cell r="P42"/>
          <cell r="Q42" t="b">
            <v>1</v>
          </cell>
          <cell r="R42"/>
          <cell r="S42"/>
          <cell r="T42"/>
          <cell r="U42"/>
        </row>
        <row r="43">
          <cell r="A43" t="str">
            <v>605FALSE</v>
          </cell>
          <cell r="B43" t="str">
            <v>605aFALSE</v>
          </cell>
          <cell r="C43" t="str">
            <v>a</v>
          </cell>
          <cell r="D43" t="b">
            <v>0</v>
          </cell>
          <cell r="E43">
            <v>605</v>
          </cell>
          <cell r="F43" t="str">
            <v>Worksheet is incomplete.</v>
          </cell>
          <cell r="G43">
            <v>0</v>
          </cell>
          <cell r="H43" t="b">
            <v>1</v>
          </cell>
          <cell r="I43"/>
          <cell r="J43"/>
          <cell r="K43"/>
          <cell r="L43"/>
          <cell r="M43"/>
          <cell r="N43"/>
          <cell r="O43"/>
          <cell r="P43"/>
          <cell r="Q43" t="b">
            <v>0</v>
          </cell>
          <cell r="R43"/>
          <cell r="S43"/>
          <cell r="T43"/>
          <cell r="U43"/>
        </row>
        <row r="44">
          <cell r="A44" t="str">
            <v>625FALSE</v>
          </cell>
          <cell r="B44" t="str">
            <v>625aFALSE</v>
          </cell>
          <cell r="C44" t="str">
            <v>a</v>
          </cell>
          <cell r="D44" t="b">
            <v>0</v>
          </cell>
          <cell r="E44">
            <v>625</v>
          </cell>
          <cell r="F44" t="str">
            <v>GASB number is blank.</v>
          </cell>
          <cell r="G44">
            <v>0</v>
          </cell>
          <cell r="H44" t="b">
            <v>1</v>
          </cell>
          <cell r="I44"/>
          <cell r="J44"/>
          <cell r="K44"/>
          <cell r="L44"/>
          <cell r="M44"/>
          <cell r="N44"/>
          <cell r="O44"/>
          <cell r="P44"/>
          <cell r="Q44" t="b">
            <v>0</v>
          </cell>
          <cell r="R44"/>
          <cell r="S44"/>
          <cell r="T44"/>
          <cell r="U44"/>
        </row>
        <row r="45">
          <cell r="A45" t="str">
            <v>625FALSE</v>
          </cell>
          <cell r="B45" t="str">
            <v>625bFALSE</v>
          </cell>
          <cell r="C45" t="str">
            <v>b</v>
          </cell>
          <cell r="D45" t="b">
            <v>0</v>
          </cell>
          <cell r="E45">
            <v>625</v>
          </cell>
          <cell r="F45" t="str">
            <v>GASB name is blank.</v>
          </cell>
          <cell r="G45">
            <v>0</v>
          </cell>
          <cell r="H45" t="b">
            <v>1</v>
          </cell>
          <cell r="I45"/>
          <cell r="J45"/>
          <cell r="K45"/>
          <cell r="L45"/>
          <cell r="M45"/>
          <cell r="N45"/>
          <cell r="O45"/>
          <cell r="P45"/>
          <cell r="Q45" t="b">
            <v>0</v>
          </cell>
          <cell r="R45"/>
          <cell r="S45"/>
          <cell r="T45"/>
          <cell r="U45"/>
        </row>
        <row r="46">
          <cell r="A46" t="str">
            <v>635FALSE</v>
          </cell>
          <cell r="B46" t="str">
            <v>635aFALSE</v>
          </cell>
          <cell r="C46" t="str">
            <v>a</v>
          </cell>
          <cell r="D46" t="b">
            <v>0</v>
          </cell>
          <cell r="E46">
            <v>635</v>
          </cell>
          <cell r="F46" t="str">
            <v>GASB number is blank.</v>
          </cell>
          <cell r="G46">
            <v>0</v>
          </cell>
          <cell r="H46" t="b">
            <v>1</v>
          </cell>
          <cell r="I46"/>
          <cell r="J46"/>
          <cell r="K46"/>
          <cell r="L46"/>
          <cell r="M46"/>
          <cell r="N46"/>
          <cell r="O46"/>
          <cell r="P46"/>
          <cell r="Q46" t="b">
            <v>0</v>
          </cell>
          <cell r="R46"/>
          <cell r="S46"/>
          <cell r="T46"/>
          <cell r="U46"/>
        </row>
        <row r="47">
          <cell r="A47" t="str">
            <v>705TRUE</v>
          </cell>
          <cell r="B47" t="str">
            <v>705aTRUE</v>
          </cell>
          <cell r="C47" t="str">
            <v>a</v>
          </cell>
          <cell r="D47" t="b">
            <v>1</v>
          </cell>
          <cell r="E47">
            <v>705</v>
          </cell>
          <cell r="F47" t="str">
            <v>Column A does not equal Column F.  See lines marked *.</v>
          </cell>
          <cell r="G47">
            <v>0</v>
          </cell>
          <cell r="H47">
            <v>0</v>
          </cell>
          <cell r="I47"/>
          <cell r="J47"/>
          <cell r="K47"/>
          <cell r="L47"/>
          <cell r="M47"/>
          <cell r="N47"/>
          <cell r="O47"/>
          <cell r="P47"/>
          <cell r="Q47" t="b">
            <v>1</v>
          </cell>
          <cell r="R47"/>
          <cell r="S47"/>
          <cell r="T47"/>
          <cell r="U47"/>
        </row>
        <row r="48">
          <cell r="A48" t="str">
            <v>710TRUE</v>
          </cell>
          <cell r="B48" t="str">
            <v>710aTRUE</v>
          </cell>
          <cell r="C48" t="str">
            <v>a</v>
          </cell>
          <cell r="D48" t="b">
            <v>1</v>
          </cell>
          <cell r="E48">
            <v>710</v>
          </cell>
          <cell r="F48" t="str">
            <v>Column A does not equal the sum of columns B, C, and D.  See lines marked *.</v>
          </cell>
          <cell r="G48">
            <v>0</v>
          </cell>
          <cell r="H48">
            <v>0</v>
          </cell>
          <cell r="I48"/>
          <cell r="J48"/>
          <cell r="K48"/>
          <cell r="L48"/>
          <cell r="M48"/>
          <cell r="N48"/>
          <cell r="O48"/>
          <cell r="P48"/>
          <cell r="Q48" t="b">
            <v>1</v>
          </cell>
          <cell r="R48"/>
          <cell r="S48"/>
          <cell r="T48"/>
          <cell r="U48"/>
        </row>
        <row r="49">
          <cell r="A49" t="str">
            <v>710TRUE</v>
          </cell>
          <cell r="B49" t="str">
            <v>710bTRUE</v>
          </cell>
          <cell r="C49" t="str">
            <v>b</v>
          </cell>
          <cell r="D49" t="b">
            <v>1</v>
          </cell>
          <cell r="E49">
            <v>710</v>
          </cell>
          <cell r="F49" t="str">
            <v>Total investments does not equal Total per CAFR 11G/11P/11F.</v>
          </cell>
          <cell r="G49">
            <v>0</v>
          </cell>
          <cell r="H49" t="b">
            <v>1</v>
          </cell>
          <cell r="I49"/>
          <cell r="J49"/>
          <cell r="K49"/>
          <cell r="L49"/>
          <cell r="M49"/>
          <cell r="N49"/>
          <cell r="O49"/>
          <cell r="P49"/>
          <cell r="Q49" t="b">
            <v>1</v>
          </cell>
          <cell r="R49"/>
          <cell r="S49"/>
          <cell r="T49"/>
          <cell r="U49"/>
        </row>
        <row r="50">
          <cell r="A50" t="str">
            <v>715TRUE</v>
          </cell>
          <cell r="B50" t="str">
            <v>715aTRUE</v>
          </cell>
          <cell r="C50" t="str">
            <v>a</v>
          </cell>
          <cell r="D50" t="b">
            <v>1</v>
          </cell>
          <cell r="E50">
            <v>715</v>
          </cell>
          <cell r="F50" t="str">
            <v>Column A does not equal Column F.  See lines marked *.</v>
          </cell>
          <cell r="G50">
            <v>0</v>
          </cell>
          <cell r="H50">
            <v>0</v>
          </cell>
          <cell r="I50"/>
          <cell r="J50"/>
          <cell r="K50"/>
          <cell r="L50"/>
          <cell r="M50"/>
          <cell r="N50"/>
          <cell r="O50"/>
          <cell r="P50"/>
          <cell r="Q50" t="b">
            <v>1</v>
          </cell>
          <cell r="R50"/>
          <cell r="S50"/>
          <cell r="T50"/>
          <cell r="U50"/>
        </row>
      </sheetData>
      <sheetData sheetId="99"/>
    </sheetDataSet>
  </externalBook>
</externalLink>
</file>

<file path=xl/persons/person.xml><?xml version="1.0" encoding="utf-8"?>
<personList xmlns="http://schemas.microsoft.com/office/spreadsheetml/2018/threadedcomments" xmlns:x="http://schemas.openxmlformats.org/spreadsheetml/2006/main">
  <person displayName="Battle, Kim R" id="{A794B2CB-C4EB-49E2-A9CE-83A71DC43D85}" userId="Battle, Kim R"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62" dT="2021-06-01T20:59:46.36" personId="{A794B2CB-C4EB-49E2-A9CE-83A71DC43D85}" id="{773A6C0F-4B6F-41B1-A89E-7FD25EDA34D4}">
    <text>This account should only be used for entities receiving coronavirus relief funds or American Rescue Plan State Fiscal Recovery Funds DIRECTLY from OSBM.</text>
  </threadedComment>
  <threadedComment ref="B164" dT="2021-05-04T13:44:05.29" personId="{A794B2CB-C4EB-49E2-A9CE-83A71DC43D85}" id="{2CCE12BC-945E-40CD-A0A1-C7C5396CCD4A}">
    <text>This account will be used to break out federal aid received directly from federal agencies for Coronavirus (COVID-19) relief. This is NOT an account in NCAS; rather, entities should report nonoperating federal grants in the appropriate Noncapital Grant Revenue account during the year, and break out federal aid received due to coronavirus in this account for Annual Report presentation purposes.</text>
  </threadedComment>
  <threadedComment ref="B166" dT="2021-06-01T20:57:34.19" personId="{A794B2CB-C4EB-49E2-A9CE-83A71DC43D85}" id="{7A4B2186-F5EB-408C-B77B-1F98910CCA87}">
    <text>This is a new account caption for FY2021. Amounts in this caption should reflect the proportionate share of the State Health Plan's contribution to the Retiree Health Benefit Fund (RHBF) for employer participants.</text>
  </threadedComment>
</ThreadedComments>
</file>

<file path=xl/threadedComments/threadedComment2.xml><?xml version="1.0" encoding="utf-8"?>
<ThreadedComments xmlns="http://schemas.microsoft.com/office/spreadsheetml/2018/threadedcomments" xmlns:x="http://schemas.openxmlformats.org/spreadsheetml/2006/main">
  <threadedComment ref="B67" dT="2021-06-01T21:03:08.77" personId="{A794B2CB-C4EB-49E2-A9CE-83A71DC43D85}" id="{1C5D5037-6C67-4855-B233-E2EC34344011}">
    <text>This account should only be used for entities receiving coronavirus relief funds or American Rescue Plan State Fiscal Recovery Funds DIRECTLY from OSBM.</text>
  </threadedComment>
  <threadedComment ref="B71" dT="2021-06-01T21:03:35.21" personId="{A794B2CB-C4EB-49E2-A9CE-83A71DC43D85}" id="{B274CB91-79F4-44AC-8210-B8B4D697A102}">
    <text>This is a new account caption for FY2021. Amounts in this caption should reflect the proportionate share of the State Health Plan's contribution to the Retiree Health Benefit Fund (RHBF) for employer participants.</text>
  </threadedComment>
  <threadedComment ref="B72" dT="2021-05-04T13:46:05.21" personId="{A794B2CB-C4EB-49E2-A9CE-83A71DC43D85}" id="{7491FB9A-0948-4C95-9D19-5DEE80A5A4C1}">
    <text>This account will be used to break out federal aid received directly from federal agencies for Coronavirus (COVID-19) relief. This is NOT an account in NCAS; rather, entities should report nonoperating federal grants in the appropriate Noncapital Grant Revenue account during the year, and break out federal aid received due to coronavirus in this account for Annual Report presentation purposes.</text>
  </threadedComment>
</ThreadedComments>
</file>

<file path=xl/threadedComments/threadedComment3.xml><?xml version="1.0" encoding="utf-8"?>
<ThreadedComments xmlns="http://schemas.microsoft.com/office/spreadsheetml/2018/threadedcomments" xmlns:x="http://schemas.openxmlformats.org/spreadsheetml/2006/main">
  <threadedComment ref="B91" dT="2021-06-01T21:10:40.51" personId="{A794B2CB-C4EB-49E2-A9CE-83A71DC43D85}" id="{E4F90271-ED4B-4703-9ED2-33878257FE6A}">
    <text>This account should only be used for entities receiving coronavirus relief funds or American Rescue Plan State Fiscal Recovery Funds DIRECTLY from OSBM.</text>
  </threadedComment>
  <threadedComment ref="B98" dT="2021-06-01T21:04:39.44" personId="{A794B2CB-C4EB-49E2-A9CE-83A71DC43D85}" id="{B5AE72AD-0143-4E60-B165-E0F4DAF95098}">
    <text>This is a new account caption for FY2021. Amounts in this caption should reflect the proportionate share of the State Health Plan's contribution to the Retiree Health Benefit Fund (RHBF) for employer participants.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files.nc.gov/ncosc/documents/GASB_Resources/Financial_Reporting_Updates/gasb_standard_69_revised.pdf" TargetMode="External"/><Relationship Id="rId1" Type="http://schemas.openxmlformats.org/officeDocument/2006/relationships/hyperlink" Target="http://ncosc.s3.amazonaws.com/s3fs-public/documents/GASB_Resources/Financial_Reporting_Updates/gasb_standard_69_revised.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osc.nc.gov/state-agency-resources/north-carolina-accounting-system-ncas/statewide-financial-reporting/gasb-resources/gasb-effective-fy-2019"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osc.nc.gov/state-agency-resources/north-carolina-accounting-system-ncas/statewide-financial-reporting/gasb-resources/effective-fy-2014" TargetMode="External"/><Relationship Id="rId1" Type="http://schemas.openxmlformats.org/officeDocument/2006/relationships/hyperlink" Target="http://www.osc.nc.gov/financial/financial_reporting_updates/GASB_Standard_70.pdf"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osc.nc.gov/1016-statewide-accounting-policy-net-position"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microsoft.com/office/2017/10/relationships/threadedComment" Target="../threadedComments/threadedComment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1"/>
  <dimension ref="A1:P1402"/>
  <sheetViews>
    <sheetView showGridLines="0" tabSelected="1" zoomScaleNormal="100" workbookViewId="0">
      <selection sqref="A1:N1"/>
    </sheetView>
  </sheetViews>
  <sheetFormatPr defaultColWidth="9.109375" defaultRowHeight="15.6" x14ac:dyDescent="0.3"/>
  <cols>
    <col min="1" max="1" width="12.33203125" style="203" customWidth="1"/>
    <col min="2" max="2" width="8.44140625" style="203" customWidth="1"/>
    <col min="3" max="3" width="7.5546875" style="203" customWidth="1"/>
    <col min="4" max="8" width="8.44140625" style="203" customWidth="1"/>
    <col min="9" max="9" width="9.5546875" style="203" customWidth="1"/>
    <col min="10" max="10" width="7.5546875" style="203" customWidth="1"/>
    <col min="11" max="13" width="10.5546875" style="203" customWidth="1"/>
    <col min="14" max="14" width="6.5546875" style="203" customWidth="1"/>
    <col min="15" max="15" width="0.88671875" style="203" customWidth="1"/>
    <col min="16" max="16" width="7.109375" style="203" customWidth="1"/>
    <col min="17" max="16384" width="9.109375" style="203"/>
  </cols>
  <sheetData>
    <row r="1" spans="1:15" ht="17.399999999999999" x14ac:dyDescent="0.3">
      <c r="A1" s="839" t="s">
        <v>275</v>
      </c>
      <c r="B1" s="839"/>
      <c r="C1" s="839"/>
      <c r="D1" s="839"/>
      <c r="E1" s="839"/>
      <c r="F1" s="839"/>
      <c r="G1" s="839"/>
      <c r="H1" s="839"/>
      <c r="I1" s="839"/>
      <c r="J1" s="839"/>
      <c r="K1" s="839"/>
      <c r="L1" s="839"/>
      <c r="M1" s="839"/>
      <c r="N1" s="839"/>
    </row>
    <row r="2" spans="1:15" ht="17.399999999999999" x14ac:dyDescent="0.3">
      <c r="A2" s="839" t="str">
        <f>CONCATENATE(YEAR(Data!A2)," ACFR Worksheets for Nonmajor Component Units")</f>
        <v>2022 ACFR Worksheets for Nonmajor Component Units</v>
      </c>
      <c r="B2" s="839"/>
      <c r="C2" s="839"/>
      <c r="D2" s="839"/>
      <c r="E2" s="839"/>
      <c r="F2" s="839"/>
      <c r="G2" s="839"/>
      <c r="H2" s="839"/>
      <c r="I2" s="839"/>
      <c r="J2" s="839"/>
      <c r="K2" s="839"/>
      <c r="L2" s="839"/>
      <c r="M2" s="839"/>
      <c r="N2" s="839"/>
    </row>
    <row r="3" spans="1:15" ht="17.399999999999999" x14ac:dyDescent="0.3">
      <c r="A3" s="839" t="s">
        <v>178</v>
      </c>
      <c r="B3" s="839"/>
      <c r="C3" s="839"/>
      <c r="D3" s="839"/>
      <c r="E3" s="839"/>
      <c r="F3" s="839"/>
      <c r="G3" s="839"/>
      <c r="H3" s="839"/>
      <c r="I3" s="839"/>
      <c r="J3" s="839"/>
      <c r="K3" s="839"/>
      <c r="L3" s="839"/>
      <c r="M3" s="839"/>
      <c r="N3" s="839"/>
    </row>
    <row r="4" spans="1:15" x14ac:dyDescent="0.3">
      <c r="A4" s="8"/>
      <c r="B4" s="8"/>
      <c r="C4" s="8"/>
      <c r="D4" s="8"/>
      <c r="E4" s="8"/>
      <c r="F4" s="8"/>
      <c r="G4" s="8"/>
      <c r="H4" s="399"/>
      <c r="I4" s="8"/>
      <c r="J4" s="8"/>
      <c r="K4" s="841" t="s">
        <v>1580</v>
      </c>
      <c r="L4" s="842"/>
      <c r="M4" s="843"/>
      <c r="N4" s="299"/>
      <c r="O4" s="199"/>
    </row>
    <row r="5" spans="1:15" x14ac:dyDescent="0.3">
      <c r="A5" s="204" t="s">
        <v>179</v>
      </c>
      <c r="B5" s="8"/>
      <c r="C5" s="8"/>
      <c r="D5" s="8"/>
      <c r="E5" s="8"/>
      <c r="F5" s="8"/>
      <c r="G5" s="8"/>
      <c r="H5" s="8"/>
      <c r="I5" s="8"/>
      <c r="J5" s="341"/>
      <c r="K5" s="429" t="s">
        <v>19</v>
      </c>
      <c r="L5" s="8"/>
      <c r="M5" s="8"/>
      <c r="N5" s="8"/>
    </row>
    <row r="6" spans="1:15" x14ac:dyDescent="0.3">
      <c r="A6" s="205" t="s">
        <v>227</v>
      </c>
      <c r="B6" s="8"/>
      <c r="C6" s="8"/>
      <c r="D6" s="840" t="s">
        <v>1574</v>
      </c>
      <c r="E6" s="840"/>
      <c r="F6" s="840"/>
      <c r="G6" s="840"/>
      <c r="H6" s="840"/>
      <c r="I6" s="840"/>
      <c r="J6" s="205" t="s">
        <v>228</v>
      </c>
      <c r="K6" s="8"/>
      <c r="L6" s="8"/>
      <c r="M6" s="8"/>
      <c r="N6" s="8"/>
    </row>
    <row r="7" spans="1:15" ht="6.9" customHeight="1" x14ac:dyDescent="0.3">
      <c r="A7" s="8"/>
      <c r="B7" s="8"/>
      <c r="C7" s="8"/>
      <c r="D7" s="8"/>
      <c r="E7" s="206"/>
      <c r="F7" s="206"/>
      <c r="G7" s="206"/>
      <c r="H7" s="206"/>
      <c r="I7" s="206"/>
      <c r="J7" s="8"/>
      <c r="K7" s="8"/>
      <c r="L7" s="8"/>
      <c r="M7" s="8"/>
      <c r="N7" s="8"/>
    </row>
    <row r="8" spans="1:15" x14ac:dyDescent="0.3">
      <c r="A8" s="8" t="s">
        <v>364</v>
      </c>
      <c r="B8" s="8"/>
      <c r="C8" s="8"/>
      <c r="D8" s="8"/>
      <c r="E8" s="8"/>
      <c r="F8" s="8"/>
      <c r="G8" s="8"/>
      <c r="H8" s="8"/>
      <c r="I8" s="8"/>
      <c r="J8" s="8"/>
      <c r="K8" s="8"/>
      <c r="L8" s="8"/>
      <c r="M8" s="8"/>
      <c r="N8" s="8"/>
    </row>
    <row r="9" spans="1:15" ht="6.9" customHeight="1" x14ac:dyDescent="0.3">
      <c r="A9" s="8"/>
      <c r="B9" s="8"/>
      <c r="C9" s="8"/>
      <c r="D9" s="8"/>
      <c r="E9" s="8"/>
      <c r="F9" s="8"/>
      <c r="G9" s="8"/>
      <c r="H9" s="8"/>
      <c r="I9" s="8"/>
      <c r="J9" s="8"/>
      <c r="K9" s="8"/>
      <c r="L9" s="8"/>
      <c r="M9" s="8"/>
      <c r="N9" s="8"/>
    </row>
    <row r="10" spans="1:15" x14ac:dyDescent="0.3">
      <c r="A10" s="8"/>
      <c r="B10" s="824" t="s">
        <v>191</v>
      </c>
      <c r="C10" s="825"/>
      <c r="D10" s="836" t="str">
        <f>INDEX(NMcomptable,MATCH(D6,NMConcNum,0),3)</f>
        <v>0A</v>
      </c>
      <c r="E10" s="836"/>
      <c r="F10" s="836"/>
      <c r="G10" s="836"/>
      <c r="H10" s="837"/>
      <c r="I10" s="208"/>
      <c r="J10" s="205" t="s">
        <v>1360</v>
      </c>
      <c r="K10" s="8"/>
      <c r="L10" s="205"/>
      <c r="M10" s="205"/>
      <c r="N10" s="253"/>
    </row>
    <row r="11" spans="1:15" x14ac:dyDescent="0.3">
      <c r="A11" s="8"/>
      <c r="B11" s="824" t="s">
        <v>190</v>
      </c>
      <c r="C11" s="825"/>
      <c r="D11" s="836" t="str">
        <f>IF(ISNA(MATCH($D10,NMcompnumtxt,0)),"INVALID COMPANY NUMBER",INDEX(NMcomptable,MATCH($D10,NMcompnumtxt,0),4))</f>
        <v>NC Housing Finance Agency</v>
      </c>
      <c r="E11" s="836"/>
      <c r="F11" s="836"/>
      <c r="G11" s="836"/>
      <c r="H11" s="837"/>
      <c r="I11" s="208"/>
      <c r="J11" s="835" t="str">
        <f>IF(J10="","",D10&amp;"p.xls")</f>
        <v>0Ap.xls</v>
      </c>
      <c r="K11" s="835"/>
      <c r="L11" s="835"/>
      <c r="M11" s="835"/>
      <c r="N11" s="253"/>
    </row>
    <row r="12" spans="1:15" x14ac:dyDescent="0.3">
      <c r="A12" s="8"/>
      <c r="B12" s="824" t="s">
        <v>2</v>
      </c>
      <c r="C12" s="825"/>
      <c r="D12" s="836" t="str">
        <f>IF(ISNA(MATCH($D10,NMcompnumtxt,0)),"INVALID REPORTING MODEL",INDEX(NMcomptable,MATCH($D10,NMcompnumtxt,0),5))</f>
        <v>GASB</v>
      </c>
      <c r="E12" s="836"/>
      <c r="F12" s="836"/>
      <c r="G12" s="836"/>
      <c r="H12" s="837"/>
      <c r="I12" s="211"/>
      <c r="J12" s="210" t="str">
        <f>IF(ISBLANK(D12),"Enter your reporting model, either GASB or FASB","")</f>
        <v/>
      </c>
      <c r="K12" s="199"/>
      <c r="L12" s="199"/>
      <c r="M12" s="199"/>
      <c r="N12" s="199"/>
    </row>
    <row r="13" spans="1:15" x14ac:dyDescent="0.3">
      <c r="A13" s="8"/>
      <c r="B13" s="824" t="s">
        <v>360</v>
      </c>
      <c r="C13" s="825"/>
      <c r="D13" s="836">
        <f>IF(ISNA(MATCH($D10,NMcompnumtxt,0)),"INVALID REPORTING MODEL",INDEX(NMcomptable,MATCH($D10,NMcompnumtxt,0),6))</f>
        <v>2611</v>
      </c>
      <c r="E13" s="836"/>
      <c r="F13" s="836"/>
      <c r="G13" s="836"/>
      <c r="H13" s="837"/>
      <c r="I13" s="211"/>
      <c r="J13" s="210"/>
      <c r="K13" s="199"/>
      <c r="L13" s="199"/>
      <c r="M13" s="199"/>
      <c r="N13" s="199"/>
    </row>
    <row r="14" spans="1:15" x14ac:dyDescent="0.3">
      <c r="A14" s="8"/>
      <c r="B14" s="824" t="s">
        <v>180</v>
      </c>
      <c r="C14" s="825"/>
      <c r="D14" s="833"/>
      <c r="E14" s="833"/>
      <c r="F14" s="833"/>
      <c r="G14" s="833"/>
      <c r="H14" s="834"/>
      <c r="I14" s="209"/>
      <c r="J14" s="507" t="str">
        <f>IF(ISBLANK(D14),"Enter preparer name!","")</f>
        <v>Enter preparer name!</v>
      </c>
      <c r="K14" s="199"/>
      <c r="L14" s="199"/>
      <c r="M14" s="199"/>
      <c r="N14" s="199"/>
    </row>
    <row r="15" spans="1:15" x14ac:dyDescent="0.3">
      <c r="A15" s="8"/>
      <c r="B15" s="207" t="s">
        <v>196</v>
      </c>
      <c r="C15" s="240"/>
      <c r="D15" s="832"/>
      <c r="E15" s="833"/>
      <c r="F15" s="833"/>
      <c r="G15" s="833"/>
      <c r="H15" s="834"/>
      <c r="I15" s="209"/>
      <c r="J15" s="507" t="str">
        <f>IF(ISBLANK(D15),"Enter email address!","")</f>
        <v>Enter email address!</v>
      </c>
      <c r="K15" s="199"/>
      <c r="L15" s="199"/>
      <c r="M15" s="199"/>
      <c r="N15" s="199"/>
    </row>
    <row r="16" spans="1:15" x14ac:dyDescent="0.3">
      <c r="A16" s="8"/>
      <c r="B16" s="824" t="s">
        <v>181</v>
      </c>
      <c r="C16" s="825"/>
      <c r="D16" s="833"/>
      <c r="E16" s="833"/>
      <c r="F16" s="833"/>
      <c r="G16" s="833"/>
      <c r="H16" s="834"/>
      <c r="I16" s="211"/>
      <c r="J16" s="507" t="str">
        <f>IF(ISBLANK(D16),"Enter preparer phone number, including area code and extension!","")</f>
        <v>Enter preparer phone number, including area code and extension!</v>
      </c>
      <c r="K16" s="199"/>
      <c r="L16" s="199"/>
      <c r="M16" s="199"/>
      <c r="N16" s="199"/>
    </row>
    <row r="17" spans="1:14" ht="8.25" customHeight="1" x14ac:dyDescent="0.3">
      <c r="A17" s="8"/>
      <c r="B17" s="8"/>
      <c r="C17" s="8"/>
      <c r="D17" s="212"/>
      <c r="E17" s="8"/>
      <c r="F17" s="8"/>
      <c r="G17" s="8"/>
      <c r="H17" s="8"/>
      <c r="I17" s="199"/>
      <c r="J17" s="199"/>
      <c r="K17" s="199"/>
      <c r="L17" s="199"/>
      <c r="M17" s="199"/>
      <c r="N17" s="199"/>
    </row>
    <row r="18" spans="1:14" x14ac:dyDescent="0.3">
      <c r="A18" s="204" t="s">
        <v>182</v>
      </c>
      <c r="B18" s="8"/>
      <c r="C18" s="8"/>
      <c r="D18" s="212"/>
      <c r="E18" s="8"/>
      <c r="F18" s="8"/>
      <c r="G18" s="8"/>
      <c r="H18" s="8"/>
      <c r="I18" s="8"/>
      <c r="J18" s="8"/>
      <c r="K18" s="8"/>
      <c r="L18" s="8"/>
      <c r="M18" s="8"/>
      <c r="N18" s="8"/>
    </row>
    <row r="19" spans="1:14" x14ac:dyDescent="0.3">
      <c r="A19" s="8" t="s">
        <v>641</v>
      </c>
      <c r="B19" s="8"/>
      <c r="C19" s="8"/>
      <c r="D19" s="212"/>
      <c r="E19" s="8"/>
      <c r="F19" s="8"/>
      <c r="G19" s="8"/>
      <c r="H19" s="8"/>
      <c r="I19" s="8"/>
      <c r="J19" s="8"/>
      <c r="K19" s="8"/>
      <c r="L19" s="8"/>
      <c r="M19" s="8"/>
      <c r="N19" s="8"/>
    </row>
    <row r="20" spans="1:14" x14ac:dyDescent="0.3">
      <c r="A20" s="8" t="s">
        <v>51</v>
      </c>
      <c r="B20" s="8"/>
      <c r="C20" s="8"/>
      <c r="D20" s="212"/>
      <c r="E20" s="8"/>
      <c r="F20" s="8"/>
      <c r="G20" s="8"/>
      <c r="H20" s="8"/>
      <c r="I20" s="8"/>
      <c r="J20" s="8"/>
      <c r="K20" s="8"/>
      <c r="L20" s="8"/>
      <c r="M20" s="8"/>
      <c r="N20" s="8"/>
    </row>
    <row r="21" spans="1:14" x14ac:dyDescent="0.3">
      <c r="A21" s="8" t="s">
        <v>52</v>
      </c>
      <c r="B21" s="8"/>
      <c r="C21" s="8"/>
      <c r="D21" s="212"/>
      <c r="E21" s="8"/>
      <c r="F21" s="8"/>
      <c r="G21" s="8"/>
      <c r="H21" s="8"/>
      <c r="I21" s="8"/>
      <c r="J21" s="8"/>
      <c r="K21" s="8"/>
      <c r="L21" s="8"/>
      <c r="M21" s="8"/>
      <c r="N21" s="8"/>
    </row>
    <row r="22" spans="1:14" ht="16.2" thickBot="1" x14ac:dyDescent="0.35">
      <c r="A22" s="8" t="s">
        <v>626</v>
      </c>
      <c r="B22" s="8"/>
      <c r="C22" s="8"/>
      <c r="D22" s="212"/>
      <c r="E22" s="8"/>
      <c r="F22" s="8"/>
      <c r="G22" s="8"/>
      <c r="H22" s="8"/>
      <c r="I22" s="8"/>
      <c r="J22" s="8"/>
      <c r="K22" s="8"/>
      <c r="L22" s="8"/>
      <c r="M22" s="8"/>
      <c r="N22" s="8"/>
    </row>
    <row r="23" spans="1:14" customFormat="1" x14ac:dyDescent="0.3">
      <c r="A23" s="388" t="s">
        <v>735</v>
      </c>
      <c r="B23" s="389"/>
      <c r="C23" s="389"/>
      <c r="D23" s="389"/>
      <c r="E23" s="389"/>
      <c r="F23" s="389"/>
      <c r="G23" s="389"/>
      <c r="H23" s="389"/>
      <c r="I23" s="390"/>
    </row>
    <row r="24" spans="1:14" customFormat="1" x14ac:dyDescent="0.3">
      <c r="A24" s="524" t="s">
        <v>1354</v>
      </c>
      <c r="B24" s="384"/>
      <c r="C24" s="384"/>
      <c r="D24" s="384"/>
      <c r="E24" s="384"/>
      <c r="F24" s="384"/>
      <c r="G24" s="384"/>
      <c r="H24" s="384"/>
      <c r="I24" s="385"/>
    </row>
    <row r="25" spans="1:14" customFormat="1" x14ac:dyDescent="0.3">
      <c r="A25" s="525" t="s">
        <v>1355</v>
      </c>
      <c r="B25" s="384"/>
      <c r="C25" s="384"/>
      <c r="D25" s="384"/>
      <c r="E25" s="384"/>
      <c r="F25" s="384"/>
      <c r="G25" s="384"/>
      <c r="H25" s="384"/>
      <c r="I25" s="385"/>
    </row>
    <row r="26" spans="1:14" customFormat="1" x14ac:dyDescent="0.3">
      <c r="A26" s="525" t="s">
        <v>1356</v>
      </c>
      <c r="B26" s="384"/>
      <c r="C26" s="384"/>
      <c r="D26" s="384"/>
      <c r="E26" s="384"/>
      <c r="F26" s="384"/>
      <c r="G26" s="384"/>
      <c r="H26" s="384"/>
      <c r="I26" s="385"/>
    </row>
    <row r="27" spans="1:14" customFormat="1" ht="16.2" thickBot="1" x14ac:dyDescent="0.35">
      <c r="A27" s="526" t="s">
        <v>1357</v>
      </c>
      <c r="B27" s="386"/>
      <c r="C27" s="386"/>
      <c r="D27" s="386"/>
      <c r="E27" s="386"/>
      <c r="F27" s="386"/>
      <c r="G27" s="386"/>
      <c r="H27" s="386"/>
      <c r="I27" s="387"/>
    </row>
    <row r="28" spans="1:14" x14ac:dyDescent="0.3">
      <c r="A28" s="8"/>
      <c r="B28" s="8"/>
      <c r="C28" s="8"/>
      <c r="D28" s="212"/>
      <c r="E28" s="8"/>
      <c r="F28" s="8"/>
      <c r="G28" s="8"/>
      <c r="H28" s="8"/>
      <c r="I28" s="8"/>
      <c r="J28" s="8"/>
      <c r="K28" s="8"/>
      <c r="L28" s="8"/>
      <c r="M28" s="8"/>
      <c r="N28" s="8"/>
    </row>
    <row r="29" spans="1:14" ht="3.75" hidden="1" customHeight="1" x14ac:dyDescent="0.3">
      <c r="A29" s="8"/>
      <c r="B29" s="8"/>
      <c r="C29" s="8"/>
      <c r="D29" s="212"/>
      <c r="E29" s="8"/>
      <c r="F29" s="8"/>
      <c r="G29" s="8"/>
      <c r="H29" s="8"/>
      <c r="I29" s="8"/>
      <c r="J29" s="8"/>
      <c r="K29" s="8"/>
      <c r="L29" s="8"/>
      <c r="M29" s="8"/>
      <c r="N29" s="8"/>
    </row>
    <row r="30" spans="1:14" ht="15.75" customHeight="1" x14ac:dyDescent="0.3">
      <c r="A30" s="8" t="s">
        <v>1358</v>
      </c>
      <c r="B30" s="8"/>
      <c r="C30" s="8"/>
      <c r="D30" s="8"/>
      <c r="E30" s="8"/>
      <c r="F30" s="8"/>
      <c r="G30" s="8"/>
      <c r="H30" s="8"/>
      <c r="I30" s="8"/>
      <c r="J30" s="8"/>
      <c r="K30" s="8"/>
      <c r="L30" s="8"/>
      <c r="M30" s="8"/>
      <c r="N30" s="8"/>
    </row>
    <row r="31" spans="1:14" ht="15.75" customHeight="1" x14ac:dyDescent="0.3">
      <c r="A31" s="8" t="s">
        <v>1009</v>
      </c>
      <c r="B31" s="8"/>
      <c r="C31" s="8"/>
      <c r="D31" s="8"/>
      <c r="E31" s="8"/>
      <c r="F31" s="8"/>
      <c r="G31" s="8"/>
      <c r="H31" s="8"/>
      <c r="I31" s="8"/>
      <c r="J31" s="8"/>
      <c r="K31" s="8"/>
      <c r="L31" s="8"/>
      <c r="M31" s="8"/>
      <c r="N31" s="8"/>
    </row>
    <row r="32" spans="1:14" ht="15.75" customHeight="1" x14ac:dyDescent="0.3">
      <c r="A32" s="8" t="s">
        <v>1010</v>
      </c>
      <c r="B32" s="8"/>
      <c r="C32" s="8"/>
      <c r="D32" s="8"/>
      <c r="E32" s="8"/>
      <c r="F32" s="8"/>
      <c r="G32" s="8"/>
      <c r="H32" s="8"/>
      <c r="I32" s="8"/>
      <c r="J32" s="8"/>
      <c r="K32" s="8"/>
      <c r="L32" s="8"/>
      <c r="M32" s="8"/>
      <c r="N32" s="8"/>
    </row>
    <row r="33" spans="1:14" ht="7.5" customHeight="1" x14ac:dyDescent="0.3">
      <c r="A33" s="8"/>
      <c r="B33" s="8"/>
      <c r="C33" s="8"/>
      <c r="D33" s="8"/>
      <c r="E33" s="8"/>
      <c r="F33" s="8"/>
      <c r="G33" s="8"/>
      <c r="H33" s="8"/>
      <c r="I33" s="8"/>
      <c r="J33" s="8"/>
      <c r="K33" s="8"/>
      <c r="L33" s="8"/>
      <c r="M33" s="8"/>
      <c r="N33" s="8"/>
    </row>
    <row r="34" spans="1:14" x14ac:dyDescent="0.3">
      <c r="A34" s="204" t="s">
        <v>183</v>
      </c>
      <c r="B34" s="8"/>
      <c r="C34" s="8"/>
      <c r="D34" s="212"/>
      <c r="E34" s="8"/>
      <c r="F34" s="8"/>
      <c r="G34" s="8"/>
      <c r="H34" s="8"/>
      <c r="I34" s="8"/>
      <c r="J34" s="8"/>
      <c r="K34" s="8"/>
      <c r="L34" s="8"/>
      <c r="M34" s="8"/>
      <c r="N34" s="8"/>
    </row>
    <row r="35" spans="1:14" x14ac:dyDescent="0.3">
      <c r="A35" s="2" t="s">
        <v>54</v>
      </c>
      <c r="B35" s="8"/>
      <c r="C35" s="8"/>
      <c r="D35" s="212"/>
      <c r="E35" s="8"/>
      <c r="F35" s="8"/>
      <c r="G35" s="8"/>
      <c r="H35" s="8"/>
      <c r="I35" s="8"/>
      <c r="J35" s="8"/>
      <c r="K35" s="8"/>
      <c r="L35" s="8"/>
      <c r="M35" s="8"/>
      <c r="N35" s="8"/>
    </row>
    <row r="36" spans="1:14" x14ac:dyDescent="0.3">
      <c r="A36" s="2" t="s">
        <v>53</v>
      </c>
      <c r="B36" s="8"/>
      <c r="C36" s="8"/>
      <c r="D36" s="212"/>
      <c r="E36" s="8"/>
      <c r="F36" s="8"/>
      <c r="G36" s="8"/>
      <c r="H36" s="8"/>
      <c r="I36" s="8"/>
      <c r="J36" s="8"/>
      <c r="K36" s="8"/>
      <c r="L36" s="8"/>
      <c r="M36" s="8"/>
      <c r="N36" s="8"/>
    </row>
    <row r="37" spans="1:14" x14ac:dyDescent="0.3">
      <c r="A37" s="2" t="s">
        <v>380</v>
      </c>
      <c r="B37" s="8"/>
      <c r="C37" s="8"/>
      <c r="D37" s="212"/>
      <c r="E37" s="8"/>
      <c r="F37" s="8"/>
      <c r="G37" s="8"/>
      <c r="H37" s="8"/>
      <c r="I37" s="8"/>
      <c r="J37" s="8"/>
      <c r="K37" s="8"/>
      <c r="L37" s="8"/>
      <c r="M37" s="8"/>
      <c r="N37" s="8"/>
    </row>
    <row r="38" spans="1:14" x14ac:dyDescent="0.3">
      <c r="A38" s="2" t="s">
        <v>642</v>
      </c>
      <c r="B38" s="8"/>
      <c r="C38" s="8"/>
      <c r="D38" s="212"/>
      <c r="E38" s="8"/>
      <c r="F38" s="8"/>
      <c r="G38" s="8"/>
      <c r="H38" s="8"/>
      <c r="I38" s="8"/>
      <c r="J38" s="8"/>
      <c r="K38" s="8"/>
      <c r="L38" s="8"/>
      <c r="M38" s="8"/>
      <c r="N38" s="8"/>
    </row>
    <row r="39" spans="1:14" s="213" customFormat="1" x14ac:dyDescent="0.3">
      <c r="A39" s="160" t="s">
        <v>55</v>
      </c>
      <c r="B39" s="160"/>
      <c r="C39" s="160"/>
      <c r="D39" s="161"/>
      <c r="E39" s="160"/>
      <c r="F39" s="160"/>
      <c r="G39" s="160"/>
      <c r="H39" s="160"/>
      <c r="I39" s="160"/>
      <c r="J39" s="160"/>
      <c r="K39" s="160"/>
      <c r="L39" s="160"/>
      <c r="M39" s="160"/>
      <c r="N39" s="160"/>
    </row>
    <row r="40" spans="1:14" ht="7.5" customHeight="1" x14ac:dyDescent="0.3">
      <c r="A40" s="8"/>
      <c r="B40" s="8"/>
      <c r="C40" s="8"/>
      <c r="D40" s="8"/>
      <c r="E40" s="8"/>
      <c r="F40" s="8"/>
      <c r="G40" s="8"/>
      <c r="H40" s="8"/>
      <c r="I40" s="8"/>
      <c r="J40" s="8"/>
      <c r="K40" s="8"/>
      <c r="L40" s="8"/>
      <c r="M40" s="8"/>
      <c r="N40" s="8"/>
    </row>
    <row r="41" spans="1:14" ht="18" customHeight="1" x14ac:dyDescent="0.3">
      <c r="A41" s="214" t="s">
        <v>184</v>
      </c>
      <c r="B41" s="215" t="s">
        <v>185</v>
      </c>
      <c r="C41" s="215"/>
      <c r="D41" s="838" t="s">
        <v>186</v>
      </c>
      <c r="E41" s="838"/>
      <c r="F41" s="838"/>
      <c r="G41" s="838"/>
      <c r="H41" s="838"/>
      <c r="I41" s="838"/>
      <c r="J41" s="838"/>
      <c r="K41" s="838"/>
      <c r="L41" s="838"/>
      <c r="M41" s="838"/>
      <c r="N41" s="838"/>
    </row>
    <row r="42" spans="1:14" ht="30.9" customHeight="1" x14ac:dyDescent="0.3">
      <c r="A42" s="162" t="s">
        <v>726</v>
      </c>
      <c r="B42" s="267"/>
      <c r="C42" s="215"/>
      <c r="D42" s="826" t="s">
        <v>711</v>
      </c>
      <c r="E42" s="827"/>
      <c r="F42" s="827"/>
      <c r="G42" s="827"/>
      <c r="H42" s="827"/>
      <c r="I42" s="827"/>
      <c r="J42" s="827"/>
      <c r="K42" s="827"/>
      <c r="L42" s="827"/>
      <c r="M42" s="827"/>
      <c r="N42" s="828"/>
    </row>
    <row r="43" spans="1:14" ht="30.9" customHeight="1" x14ac:dyDescent="0.3">
      <c r="A43" s="162" t="s">
        <v>727</v>
      </c>
      <c r="B43" s="267"/>
      <c r="C43" s="215"/>
      <c r="D43" s="826" t="s">
        <v>218</v>
      </c>
      <c r="E43" s="827"/>
      <c r="F43" s="827"/>
      <c r="G43" s="827"/>
      <c r="H43" s="827"/>
      <c r="I43" s="827"/>
      <c r="J43" s="827"/>
      <c r="K43" s="827"/>
      <c r="L43" s="827"/>
      <c r="M43" s="827"/>
      <c r="N43" s="828"/>
    </row>
    <row r="44" spans="1:14" ht="30.9" customHeight="1" x14ac:dyDescent="0.3">
      <c r="A44" s="162" t="s">
        <v>214</v>
      </c>
      <c r="B44" s="267"/>
      <c r="C44" s="215"/>
      <c r="D44" s="826" t="s">
        <v>1277</v>
      </c>
      <c r="E44" s="827"/>
      <c r="F44" s="827"/>
      <c r="G44" s="827"/>
      <c r="H44" s="827"/>
      <c r="I44" s="827"/>
      <c r="J44" s="827"/>
      <c r="K44" s="827"/>
      <c r="L44" s="827"/>
      <c r="M44" s="827"/>
      <c r="N44" s="828"/>
    </row>
    <row r="45" spans="1:14" ht="30.9" customHeight="1" x14ac:dyDescent="0.3">
      <c r="A45" s="724" t="s">
        <v>1275</v>
      </c>
      <c r="B45" s="267"/>
      <c r="C45" s="243"/>
      <c r="D45" s="829" t="s">
        <v>1276</v>
      </c>
      <c r="E45" s="830"/>
      <c r="F45" s="830"/>
      <c r="G45" s="830"/>
      <c r="H45" s="830"/>
      <c r="I45" s="830"/>
      <c r="J45" s="830"/>
      <c r="K45" s="830"/>
      <c r="L45" s="830"/>
      <c r="M45" s="830"/>
      <c r="N45" s="831"/>
    </row>
    <row r="46" spans="1:14" ht="35.25" customHeight="1" x14ac:dyDescent="0.3">
      <c r="A46" s="483" t="s">
        <v>361</v>
      </c>
      <c r="B46" s="267"/>
      <c r="C46" s="215"/>
      <c r="D46" s="815" t="s">
        <v>738</v>
      </c>
      <c r="E46" s="812"/>
      <c r="F46" s="812"/>
      <c r="G46" s="812"/>
      <c r="H46" s="812"/>
      <c r="I46" s="812"/>
      <c r="J46" s="812"/>
      <c r="K46" s="812"/>
      <c r="L46" s="812"/>
      <c r="M46" s="812"/>
      <c r="N46" s="813"/>
    </row>
    <row r="47" spans="1:14" ht="17.25" customHeight="1" x14ac:dyDescent="0.3">
      <c r="A47" s="163">
        <v>110</v>
      </c>
      <c r="B47" s="216"/>
      <c r="C47" s="215"/>
      <c r="D47" s="815" t="s">
        <v>875</v>
      </c>
      <c r="E47" s="812"/>
      <c r="F47" s="812"/>
      <c r="G47" s="812"/>
      <c r="H47" s="812"/>
      <c r="I47" s="812"/>
      <c r="J47" s="812"/>
      <c r="K47" s="812"/>
      <c r="L47" s="812"/>
      <c r="M47" s="812"/>
      <c r="N47" s="813"/>
    </row>
    <row r="48" spans="1:14" ht="17.25" customHeight="1" x14ac:dyDescent="0.3">
      <c r="A48" s="163">
        <v>115</v>
      </c>
      <c r="B48" s="216"/>
      <c r="C48" s="215"/>
      <c r="D48" s="815" t="s">
        <v>922</v>
      </c>
      <c r="E48" s="812"/>
      <c r="F48" s="812"/>
      <c r="G48" s="812"/>
      <c r="H48" s="812"/>
      <c r="I48" s="812"/>
      <c r="J48" s="812"/>
      <c r="K48" s="812"/>
      <c r="L48" s="812"/>
      <c r="M48" s="812"/>
      <c r="N48" s="813"/>
    </row>
    <row r="49" spans="1:16" ht="17.25" customHeight="1" x14ac:dyDescent="0.3">
      <c r="A49" s="163">
        <v>120</v>
      </c>
      <c r="B49" s="216"/>
      <c r="C49" s="215"/>
      <c r="D49" s="815" t="s">
        <v>987</v>
      </c>
      <c r="E49" s="812"/>
      <c r="F49" s="812"/>
      <c r="G49" s="812"/>
      <c r="H49" s="812"/>
      <c r="I49" s="812"/>
      <c r="J49" s="812"/>
      <c r="K49" s="812"/>
      <c r="L49" s="812"/>
      <c r="M49" s="812"/>
      <c r="N49" s="813"/>
    </row>
    <row r="50" spans="1:16" ht="17.25" customHeight="1" x14ac:dyDescent="0.3">
      <c r="A50" s="628">
        <v>323</v>
      </c>
      <c r="B50" s="267"/>
      <c r="C50" s="215"/>
      <c r="D50" s="815" t="s">
        <v>1146</v>
      </c>
      <c r="E50" s="812"/>
      <c r="F50" s="812"/>
      <c r="G50" s="812"/>
      <c r="H50" s="812"/>
      <c r="I50" s="812"/>
      <c r="J50" s="812"/>
      <c r="K50" s="812"/>
      <c r="L50" s="812"/>
      <c r="M50" s="812"/>
      <c r="N50" s="813"/>
    </row>
    <row r="51" spans="1:16" ht="17.25" customHeight="1" x14ac:dyDescent="0.3">
      <c r="A51" s="163">
        <v>338</v>
      </c>
      <c r="B51" s="267"/>
      <c r="C51" s="215"/>
      <c r="D51" s="815" t="s">
        <v>793</v>
      </c>
      <c r="E51" s="812"/>
      <c r="F51" s="812"/>
      <c r="G51" s="812"/>
      <c r="H51" s="812"/>
      <c r="I51" s="812"/>
      <c r="J51" s="812"/>
      <c r="K51" s="812"/>
      <c r="L51" s="812"/>
      <c r="M51" s="812"/>
      <c r="N51" s="813"/>
    </row>
    <row r="52" spans="1:16" s="213" customFormat="1" x14ac:dyDescent="0.3">
      <c r="A52" s="163">
        <v>345</v>
      </c>
      <c r="B52" s="216"/>
      <c r="C52" s="217"/>
      <c r="D52" s="815" t="s">
        <v>187</v>
      </c>
      <c r="E52" s="812"/>
      <c r="F52" s="812"/>
      <c r="G52" s="812"/>
      <c r="H52" s="812"/>
      <c r="I52" s="812"/>
      <c r="J52" s="812"/>
      <c r="K52" s="812"/>
      <c r="L52" s="812"/>
      <c r="M52" s="812"/>
      <c r="N52" s="813"/>
      <c r="P52" s="203"/>
    </row>
    <row r="53" spans="1:16" s="213" customFormat="1" ht="15.75" customHeight="1" x14ac:dyDescent="0.3">
      <c r="A53" s="163">
        <v>355</v>
      </c>
      <c r="B53" s="216"/>
      <c r="C53" s="217"/>
      <c r="D53" s="815" t="s">
        <v>188</v>
      </c>
      <c r="E53" s="812"/>
      <c r="F53" s="812"/>
      <c r="G53" s="812"/>
      <c r="H53" s="812"/>
      <c r="I53" s="812"/>
      <c r="J53" s="812"/>
      <c r="K53" s="812"/>
      <c r="L53" s="812"/>
      <c r="M53" s="812"/>
      <c r="N53" s="813"/>
    </row>
    <row r="54" spans="1:16" s="682" customFormat="1" ht="15.75" customHeight="1" x14ac:dyDescent="0.3">
      <c r="A54" s="163">
        <v>375</v>
      </c>
      <c r="B54" s="267"/>
      <c r="C54" s="683"/>
      <c r="D54" s="815" t="s">
        <v>1279</v>
      </c>
      <c r="E54" s="812"/>
      <c r="F54" s="812"/>
      <c r="G54" s="812"/>
      <c r="H54" s="812"/>
      <c r="I54" s="812"/>
      <c r="J54" s="812"/>
      <c r="K54" s="812"/>
      <c r="L54" s="812"/>
      <c r="M54" s="812"/>
      <c r="N54" s="813"/>
    </row>
    <row r="55" spans="1:16" s="213" customFormat="1" x14ac:dyDescent="0.3">
      <c r="A55" s="163">
        <v>420</v>
      </c>
      <c r="B55" s="267"/>
      <c r="C55" s="217"/>
      <c r="D55" s="815" t="s">
        <v>876</v>
      </c>
      <c r="E55" s="812"/>
      <c r="F55" s="812"/>
      <c r="G55" s="812"/>
      <c r="H55" s="812"/>
      <c r="I55" s="812"/>
      <c r="J55" s="812"/>
      <c r="K55" s="812"/>
      <c r="L55" s="812"/>
      <c r="M55" s="812"/>
      <c r="N55" s="813"/>
    </row>
    <row r="56" spans="1:16" s="213" customFormat="1" x14ac:dyDescent="0.3">
      <c r="A56" s="163">
        <v>430</v>
      </c>
      <c r="B56" s="267"/>
      <c r="C56" s="217"/>
      <c r="D56" s="815" t="s">
        <v>288</v>
      </c>
      <c r="E56" s="812"/>
      <c r="F56" s="812"/>
      <c r="G56" s="812"/>
      <c r="H56" s="812"/>
      <c r="I56" s="812"/>
      <c r="J56" s="812"/>
      <c r="K56" s="812"/>
      <c r="L56" s="812"/>
      <c r="M56" s="812"/>
      <c r="N56" s="813"/>
    </row>
    <row r="57" spans="1:16" s="213" customFormat="1" x14ac:dyDescent="0.3">
      <c r="A57" s="163">
        <v>515</v>
      </c>
      <c r="B57" s="267"/>
      <c r="C57" s="217"/>
      <c r="D57" s="815" t="s">
        <v>229</v>
      </c>
      <c r="E57" s="812"/>
      <c r="F57" s="812"/>
      <c r="G57" s="812"/>
      <c r="H57" s="812"/>
      <c r="I57" s="812"/>
      <c r="J57" s="812"/>
      <c r="K57" s="812"/>
      <c r="L57" s="812"/>
      <c r="M57" s="812"/>
      <c r="N57" s="813"/>
    </row>
    <row r="58" spans="1:16" s="213" customFormat="1" x14ac:dyDescent="0.3">
      <c r="A58" s="163">
        <v>520</v>
      </c>
      <c r="B58" s="267"/>
      <c r="C58" s="217"/>
      <c r="D58" s="815" t="s">
        <v>230</v>
      </c>
      <c r="E58" s="812"/>
      <c r="F58" s="812"/>
      <c r="G58" s="812"/>
      <c r="H58" s="812"/>
      <c r="I58" s="812"/>
      <c r="J58" s="812"/>
      <c r="K58" s="812"/>
      <c r="L58" s="812"/>
      <c r="M58" s="812"/>
      <c r="N58" s="813"/>
    </row>
    <row r="59" spans="1:16" s="213" customFormat="1" x14ac:dyDescent="0.3">
      <c r="A59" s="163">
        <v>525</v>
      </c>
      <c r="B59" s="267"/>
      <c r="C59" s="217"/>
      <c r="D59" s="815" t="s">
        <v>383</v>
      </c>
      <c r="E59" s="812"/>
      <c r="F59" s="812"/>
      <c r="G59" s="812"/>
      <c r="H59" s="812"/>
      <c r="I59" s="812"/>
      <c r="J59" s="812"/>
      <c r="K59" s="812"/>
      <c r="L59" s="812"/>
      <c r="M59" s="812"/>
      <c r="N59" s="813"/>
      <c r="P59" s="203"/>
    </row>
    <row r="60" spans="1:16" s="213" customFormat="1" x14ac:dyDescent="0.3">
      <c r="A60" s="163">
        <v>530</v>
      </c>
      <c r="B60" s="267"/>
      <c r="C60" s="217"/>
      <c r="D60" s="815" t="s">
        <v>189</v>
      </c>
      <c r="E60" s="812"/>
      <c r="F60" s="812"/>
      <c r="G60" s="812"/>
      <c r="H60" s="812"/>
      <c r="I60" s="812"/>
      <c r="J60" s="812"/>
      <c r="K60" s="812"/>
      <c r="L60" s="812"/>
      <c r="M60" s="812"/>
      <c r="N60" s="813"/>
    </row>
    <row r="61" spans="1:16" s="213" customFormat="1" x14ac:dyDescent="0.3">
      <c r="A61" s="163">
        <v>535</v>
      </c>
      <c r="B61" s="267"/>
      <c r="C61" s="217"/>
      <c r="D61" s="815" t="s">
        <v>231</v>
      </c>
      <c r="E61" s="812"/>
      <c r="F61" s="812"/>
      <c r="G61" s="812"/>
      <c r="H61" s="812"/>
      <c r="I61" s="812"/>
      <c r="J61" s="812"/>
      <c r="K61" s="812"/>
      <c r="L61" s="812"/>
      <c r="M61" s="812"/>
      <c r="N61" s="813"/>
    </row>
    <row r="62" spans="1:16" s="213" customFormat="1" x14ac:dyDescent="0.3">
      <c r="A62" s="556">
        <v>602</v>
      </c>
      <c r="B62" s="267"/>
      <c r="C62" s="217"/>
      <c r="D62" s="811" t="s">
        <v>1125</v>
      </c>
      <c r="E62" s="812"/>
      <c r="F62" s="812"/>
      <c r="G62" s="812"/>
      <c r="H62" s="812"/>
      <c r="I62" s="812"/>
      <c r="J62" s="812"/>
      <c r="K62" s="812"/>
      <c r="L62" s="812"/>
      <c r="M62" s="812"/>
      <c r="N62" s="813"/>
    </row>
    <row r="63" spans="1:16" s="213" customFormat="1" x14ac:dyDescent="0.3">
      <c r="A63" s="163">
        <v>610</v>
      </c>
      <c r="B63" s="216"/>
      <c r="C63" s="217"/>
      <c r="D63" s="815" t="s">
        <v>381</v>
      </c>
      <c r="E63" s="812"/>
      <c r="F63" s="812"/>
      <c r="G63" s="812"/>
      <c r="H63" s="812"/>
      <c r="I63" s="812"/>
      <c r="J63" s="812"/>
      <c r="K63" s="812"/>
      <c r="L63" s="812"/>
      <c r="M63" s="812"/>
      <c r="N63" s="813"/>
    </row>
    <row r="64" spans="1:16" s="213" customFormat="1" x14ac:dyDescent="0.3">
      <c r="A64" s="163">
        <v>615</v>
      </c>
      <c r="B64" s="267"/>
      <c r="C64" s="217"/>
      <c r="D64" s="815" t="s">
        <v>232</v>
      </c>
      <c r="E64" s="812"/>
      <c r="F64" s="812"/>
      <c r="G64" s="812"/>
      <c r="H64" s="812"/>
      <c r="I64" s="812"/>
      <c r="J64" s="812"/>
      <c r="K64" s="812"/>
      <c r="L64" s="812"/>
      <c r="M64" s="812"/>
      <c r="N64" s="813"/>
    </row>
    <row r="65" spans="1:14" s="213" customFormat="1" x14ac:dyDescent="0.3">
      <c r="A65" s="163">
        <v>625</v>
      </c>
      <c r="B65" s="267"/>
      <c r="C65" s="217"/>
      <c r="D65" s="815" t="s">
        <v>379</v>
      </c>
      <c r="E65" s="812"/>
      <c r="F65" s="812"/>
      <c r="G65" s="812"/>
      <c r="H65" s="812"/>
      <c r="I65" s="812"/>
      <c r="J65" s="812"/>
      <c r="K65" s="812"/>
      <c r="L65" s="812"/>
      <c r="M65" s="812"/>
      <c r="N65" s="813"/>
    </row>
    <row r="66" spans="1:14" s="213" customFormat="1" x14ac:dyDescent="0.3">
      <c r="A66" s="218" t="s">
        <v>233</v>
      </c>
      <c r="B66" s="267"/>
      <c r="C66" s="217"/>
      <c r="D66" s="815" t="s">
        <v>234</v>
      </c>
      <c r="E66" s="812"/>
      <c r="F66" s="812"/>
      <c r="G66" s="812"/>
      <c r="H66" s="812"/>
      <c r="I66" s="812"/>
      <c r="J66" s="812"/>
      <c r="K66" s="812"/>
      <c r="L66" s="812"/>
      <c r="M66" s="812"/>
      <c r="N66" s="813"/>
    </row>
    <row r="67" spans="1:14" s="213" customFormat="1" x14ac:dyDescent="0.3">
      <c r="A67" s="218" t="s">
        <v>79</v>
      </c>
      <c r="B67" s="267"/>
      <c r="C67" s="217"/>
      <c r="D67" s="815" t="s">
        <v>171</v>
      </c>
      <c r="E67" s="812"/>
      <c r="F67" s="812"/>
      <c r="G67" s="812"/>
      <c r="H67" s="812"/>
      <c r="I67" s="812"/>
      <c r="J67" s="812"/>
      <c r="K67" s="812"/>
      <c r="L67" s="812"/>
      <c r="M67" s="812"/>
      <c r="N67" s="813"/>
    </row>
    <row r="68" spans="1:14" s="213" customFormat="1" ht="18" customHeight="1" x14ac:dyDescent="0.3">
      <c r="A68" s="218" t="s">
        <v>235</v>
      </c>
      <c r="B68" s="375" t="s">
        <v>643</v>
      </c>
      <c r="C68" s="217"/>
      <c r="D68" s="818" t="s">
        <v>1280</v>
      </c>
      <c r="E68" s="819"/>
      <c r="F68" s="819"/>
      <c r="G68" s="819"/>
      <c r="H68" s="819"/>
      <c r="I68" s="819"/>
      <c r="J68" s="819"/>
      <c r="K68" s="819"/>
      <c r="L68" s="819"/>
      <c r="M68" s="819"/>
      <c r="N68" s="820"/>
    </row>
    <row r="69" spans="1:14" s="213" customFormat="1" ht="20.25" customHeight="1" x14ac:dyDescent="0.3">
      <c r="A69" s="218" t="s">
        <v>580</v>
      </c>
      <c r="B69" s="375" t="s">
        <v>643</v>
      </c>
      <c r="C69" s="217"/>
      <c r="D69" s="815" t="s">
        <v>581</v>
      </c>
      <c r="E69" s="812"/>
      <c r="F69" s="812"/>
      <c r="G69" s="812"/>
      <c r="H69" s="812"/>
      <c r="I69" s="812"/>
      <c r="J69" s="812"/>
      <c r="K69" s="812"/>
      <c r="L69" s="812"/>
      <c r="M69" s="812"/>
      <c r="N69" s="813"/>
    </row>
    <row r="70" spans="1:14" s="213" customFormat="1" ht="20.25" customHeight="1" x14ac:dyDescent="0.3">
      <c r="A70" s="218" t="s">
        <v>659</v>
      </c>
      <c r="B70" s="375" t="s">
        <v>643</v>
      </c>
      <c r="C70" s="217"/>
      <c r="D70" s="815" t="s">
        <v>1281</v>
      </c>
      <c r="E70" s="812"/>
      <c r="F70" s="812"/>
      <c r="G70" s="812"/>
      <c r="H70" s="812"/>
      <c r="I70" s="812"/>
      <c r="J70" s="812"/>
      <c r="K70" s="812"/>
      <c r="L70" s="812"/>
      <c r="M70" s="812"/>
      <c r="N70" s="813"/>
    </row>
    <row r="71" spans="1:14" x14ac:dyDescent="0.3">
      <c r="A71" s="822"/>
      <c r="B71" s="822"/>
      <c r="C71" s="822"/>
      <c r="D71" s="822"/>
      <c r="E71" s="821"/>
      <c r="F71" s="821"/>
      <c r="G71" s="8"/>
      <c r="H71" s="823" t="str">
        <f>CONCATENATE(D10," ",D11)</f>
        <v>0A NC Housing Finance Agency</v>
      </c>
      <c r="I71" s="823"/>
      <c r="J71" s="823"/>
      <c r="K71" s="823"/>
      <c r="L71" s="823"/>
      <c r="M71" s="823"/>
      <c r="N71" s="823"/>
    </row>
    <row r="72" spans="1:14" s="213" customFormat="1" x14ac:dyDescent="0.3">
      <c r="A72" s="817"/>
      <c r="B72" s="817"/>
      <c r="C72" s="817"/>
      <c r="D72" s="817"/>
      <c r="E72" s="817"/>
      <c r="F72" s="817"/>
      <c r="G72" s="817"/>
      <c r="H72" s="817"/>
      <c r="I72" s="817"/>
      <c r="J72" s="817"/>
      <c r="K72" s="817"/>
      <c r="L72" s="817"/>
      <c r="M72" s="817"/>
      <c r="N72" s="817"/>
    </row>
    <row r="73" spans="1:14" s="8" customFormat="1" x14ac:dyDescent="0.3">
      <c r="A73" s="428"/>
    </row>
    <row r="74" spans="1:14" s="213" customFormat="1" x14ac:dyDescent="0.3">
      <c r="A74" s="222"/>
      <c r="B74" s="219"/>
      <c r="C74" s="220"/>
      <c r="D74" s="221"/>
      <c r="E74" s="221"/>
      <c r="F74" s="221"/>
      <c r="G74" s="221"/>
      <c r="H74" s="816"/>
      <c r="I74" s="816"/>
      <c r="J74" s="816"/>
      <c r="K74" s="816"/>
      <c r="L74" s="816"/>
      <c r="M74" s="816"/>
      <c r="N74" s="816"/>
    </row>
    <row r="75" spans="1:14" x14ac:dyDescent="0.3">
      <c r="A75" s="8"/>
      <c r="B75" s="8"/>
      <c r="C75" s="8"/>
      <c r="D75" s="8"/>
      <c r="E75" s="8"/>
      <c r="F75" s="8"/>
      <c r="G75" s="8"/>
      <c r="H75" s="816"/>
      <c r="I75" s="816"/>
      <c r="J75" s="816"/>
      <c r="K75" s="816"/>
      <c r="L75" s="816"/>
      <c r="M75" s="816"/>
      <c r="N75" s="816"/>
    </row>
    <row r="76" spans="1:14" x14ac:dyDescent="0.3">
      <c r="A76" s="223"/>
      <c r="B76" s="206"/>
      <c r="C76" s="206"/>
      <c r="D76" s="8"/>
      <c r="E76" s="8"/>
      <c r="F76" s="8"/>
      <c r="G76" s="8"/>
      <c r="H76" s="8"/>
      <c r="I76" s="8"/>
      <c r="J76" s="8"/>
      <c r="K76" s="8"/>
      <c r="L76" s="8"/>
      <c r="M76" s="8"/>
      <c r="N76" s="8"/>
    </row>
    <row r="77" spans="1:14" x14ac:dyDescent="0.3">
      <c r="A77" s="224"/>
      <c r="B77" s="225"/>
      <c r="C77" s="225"/>
      <c r="E77" s="226"/>
    </row>
    <row r="84" spans="5:6" x14ac:dyDescent="0.3">
      <c r="E84" s="8"/>
      <c r="F84" s="8"/>
    </row>
    <row r="85" spans="5:6" x14ac:dyDescent="0.3">
      <c r="E85" s="8"/>
      <c r="F85" s="8"/>
    </row>
    <row r="86" spans="5:6" x14ac:dyDescent="0.3">
      <c r="E86" s="8"/>
      <c r="F86" s="8"/>
    </row>
    <row r="87" spans="5:6" x14ac:dyDescent="0.3">
      <c r="E87" s="8"/>
      <c r="F87" s="8"/>
    </row>
    <row r="88" spans="5:6" x14ac:dyDescent="0.3">
      <c r="E88" s="8"/>
      <c r="F88" s="8"/>
    </row>
    <row r="89" spans="5:6" x14ac:dyDescent="0.3">
      <c r="E89" s="8"/>
      <c r="F89" s="8"/>
    </row>
    <row r="117" spans="1:5" x14ac:dyDescent="0.3">
      <c r="A117" s="229" t="s">
        <v>3</v>
      </c>
      <c r="B117" s="230"/>
      <c r="C117" s="230"/>
      <c r="D117" s="160"/>
      <c r="E117" s="160"/>
    </row>
    <row r="118" spans="1:5" x14ac:dyDescent="0.3">
      <c r="A118" s="814">
        <v>41090</v>
      </c>
      <c r="B118" s="814"/>
      <c r="C118" s="230" t="s">
        <v>4</v>
      </c>
      <c r="D118" s="160"/>
      <c r="E118" s="160"/>
    </row>
    <row r="119" spans="1:5" x14ac:dyDescent="0.3">
      <c r="A119" s="814">
        <v>40725</v>
      </c>
      <c r="B119" s="814"/>
      <c r="C119" s="230" t="s">
        <v>5</v>
      </c>
      <c r="D119" s="160"/>
      <c r="E119" s="160"/>
    </row>
    <row r="120" spans="1:5" x14ac:dyDescent="0.3">
      <c r="A120" s="814">
        <v>40724</v>
      </c>
      <c r="B120" s="814"/>
      <c r="C120" s="230" t="s">
        <v>6</v>
      </c>
      <c r="D120" s="160"/>
      <c r="E120" s="160"/>
    </row>
    <row r="121" spans="1:5" x14ac:dyDescent="0.3">
      <c r="A121" s="814">
        <v>41091</v>
      </c>
      <c r="B121" s="814"/>
      <c r="C121" s="230" t="s">
        <v>7</v>
      </c>
      <c r="D121" s="160"/>
      <c r="E121" s="160"/>
    </row>
    <row r="122" spans="1:5" x14ac:dyDescent="0.3">
      <c r="A122" s="814">
        <v>41455</v>
      </c>
      <c r="B122" s="814"/>
      <c r="C122" s="230" t="s">
        <v>8</v>
      </c>
      <c r="D122" s="160"/>
      <c r="E122" s="160"/>
    </row>
    <row r="1246" spans="1:4" customFormat="1" x14ac:dyDescent="0.3">
      <c r="A1246" s="227"/>
      <c r="B1246" s="8"/>
      <c r="C1246" s="8"/>
      <c r="D1246" s="8"/>
    </row>
    <row r="1247" spans="1:4" customFormat="1" x14ac:dyDescent="0.3">
      <c r="A1247" s="227"/>
      <c r="B1247" s="227"/>
      <c r="C1247" s="227"/>
      <c r="D1247" s="8"/>
    </row>
    <row r="1248" spans="1:4" customFormat="1" x14ac:dyDescent="0.3">
      <c r="A1248" s="227"/>
      <c r="B1248" s="227"/>
      <c r="C1248" s="227"/>
      <c r="D1248" s="8"/>
    </row>
    <row r="1249" spans="1:4" customFormat="1" x14ac:dyDescent="0.3">
      <c r="A1249" s="227"/>
      <c r="B1249" s="227"/>
      <c r="C1249" s="227"/>
      <c r="D1249" s="8"/>
    </row>
    <row r="1250" spans="1:4" customFormat="1" x14ac:dyDescent="0.3">
      <c r="A1250" s="227"/>
      <c r="B1250" s="227"/>
      <c r="C1250" s="227"/>
      <c r="D1250" s="8"/>
    </row>
    <row r="1251" spans="1:4" customFormat="1" x14ac:dyDescent="0.3">
      <c r="A1251" s="227"/>
      <c r="B1251" s="227"/>
      <c r="C1251" s="227"/>
      <c r="D1251" s="8"/>
    </row>
    <row r="1252" spans="1:4" customFormat="1" x14ac:dyDescent="0.3">
      <c r="A1252" s="227"/>
      <c r="B1252" s="227"/>
      <c r="C1252" s="227"/>
      <c r="D1252" s="8"/>
    </row>
    <row r="1253" spans="1:4" customFormat="1" x14ac:dyDescent="0.3">
      <c r="A1253" s="227"/>
      <c r="B1253" s="227"/>
      <c r="C1253" s="227"/>
      <c r="D1253" s="8"/>
    </row>
    <row r="1254" spans="1:4" customFormat="1" x14ac:dyDescent="0.3">
      <c r="A1254" s="227"/>
      <c r="B1254" s="227"/>
      <c r="C1254" s="227"/>
      <c r="D1254" s="8"/>
    </row>
    <row r="1255" spans="1:4" customFormat="1" x14ac:dyDescent="0.3">
      <c r="A1255" s="227"/>
      <c r="B1255" s="227"/>
      <c r="C1255" s="227"/>
      <c r="D1255" s="8"/>
    </row>
    <row r="1256" spans="1:4" customFormat="1" x14ac:dyDescent="0.3">
      <c r="A1256" s="227"/>
      <c r="B1256" s="227"/>
      <c r="C1256" s="227"/>
      <c r="D1256" s="8"/>
    </row>
    <row r="1257" spans="1:4" customFormat="1" x14ac:dyDescent="0.3">
      <c r="A1257" s="227"/>
      <c r="B1257" s="227"/>
      <c r="C1257" s="227"/>
      <c r="D1257" s="8"/>
    </row>
    <row r="1258" spans="1:4" customFormat="1" x14ac:dyDescent="0.3">
      <c r="A1258" s="227"/>
      <c r="B1258" s="227"/>
      <c r="C1258" s="227"/>
      <c r="D1258" s="8"/>
    </row>
    <row r="1259" spans="1:4" customFormat="1" x14ac:dyDescent="0.3">
      <c r="A1259" s="227"/>
      <c r="B1259" s="227"/>
      <c r="C1259" s="227"/>
      <c r="D1259" s="8"/>
    </row>
    <row r="1260" spans="1:4" customFormat="1" x14ac:dyDescent="0.3">
      <c r="A1260" s="227"/>
      <c r="B1260" s="227"/>
      <c r="C1260" s="227"/>
      <c r="D1260" s="8"/>
    </row>
    <row r="1261" spans="1:4" customFormat="1" x14ac:dyDescent="0.3">
      <c r="A1261" s="227"/>
      <c r="B1261" s="227"/>
      <c r="C1261" s="227"/>
      <c r="D1261" s="8"/>
    </row>
    <row r="1262" spans="1:4" customFormat="1" x14ac:dyDescent="0.3">
      <c r="A1262" s="227"/>
      <c r="B1262" s="227"/>
      <c r="C1262" s="227"/>
      <c r="D1262" s="8"/>
    </row>
    <row r="1263" spans="1:4" customFormat="1" x14ac:dyDescent="0.3">
      <c r="A1263" s="227"/>
      <c r="B1263" s="227"/>
      <c r="C1263" s="227"/>
      <c r="D1263" s="8"/>
    </row>
    <row r="1264" spans="1:4" customFormat="1" x14ac:dyDescent="0.3">
      <c r="A1264" s="227"/>
      <c r="B1264" s="227"/>
      <c r="C1264" s="227"/>
      <c r="D1264" s="8"/>
    </row>
    <row r="1265" spans="1:4" customFormat="1" x14ac:dyDescent="0.3">
      <c r="A1265" s="227"/>
      <c r="B1265" s="227"/>
      <c r="C1265" s="227"/>
      <c r="D1265" s="8"/>
    </row>
    <row r="1266" spans="1:4" customFormat="1" x14ac:dyDescent="0.3">
      <c r="A1266" s="227"/>
      <c r="B1266" s="227"/>
      <c r="C1266" s="227"/>
      <c r="D1266" s="8"/>
    </row>
    <row r="1267" spans="1:4" customFormat="1" x14ac:dyDescent="0.3">
      <c r="A1267" s="227"/>
      <c r="B1267" s="227"/>
      <c r="C1267" s="227"/>
      <c r="D1267" s="8"/>
    </row>
    <row r="1268" spans="1:4" customFormat="1" x14ac:dyDescent="0.3">
      <c r="A1268" s="227"/>
      <c r="B1268" s="227"/>
      <c r="C1268" s="227"/>
      <c r="D1268" s="8"/>
    </row>
    <row r="1269" spans="1:4" customFormat="1" x14ac:dyDescent="0.3">
      <c r="A1269" s="227"/>
      <c r="B1269" s="227"/>
      <c r="C1269" s="227"/>
      <c r="D1269" s="8"/>
    </row>
    <row r="1270" spans="1:4" customFormat="1" x14ac:dyDescent="0.3">
      <c r="A1270" s="227"/>
      <c r="B1270" s="227"/>
      <c r="C1270" s="227"/>
      <c r="D1270" s="8"/>
    </row>
    <row r="1271" spans="1:4" customFormat="1" x14ac:dyDescent="0.3">
      <c r="A1271" s="227"/>
      <c r="B1271" s="227"/>
      <c r="C1271" s="227"/>
      <c r="D1271" s="8"/>
    </row>
    <row r="1272" spans="1:4" customFormat="1" x14ac:dyDescent="0.3">
      <c r="A1272" s="227"/>
      <c r="B1272" s="227"/>
      <c r="C1272" s="227"/>
      <c r="D1272" s="8"/>
    </row>
    <row r="1273" spans="1:4" customFormat="1" x14ac:dyDescent="0.3">
      <c r="A1273" s="227"/>
      <c r="B1273" s="227"/>
      <c r="C1273" s="227"/>
      <c r="D1273" s="8"/>
    </row>
    <row r="1274" spans="1:4" customFormat="1" x14ac:dyDescent="0.3">
      <c r="A1274" s="227"/>
      <c r="B1274" s="227"/>
      <c r="C1274" s="227"/>
      <c r="D1274" s="8"/>
    </row>
    <row r="1275" spans="1:4" customFormat="1" x14ac:dyDescent="0.3">
      <c r="A1275" s="227"/>
      <c r="B1275" s="227"/>
      <c r="C1275" s="227"/>
      <c r="D1275" s="8"/>
    </row>
    <row r="1276" spans="1:4" customFormat="1" x14ac:dyDescent="0.3">
      <c r="A1276" s="227"/>
      <c r="B1276" s="227"/>
      <c r="C1276" s="227"/>
      <c r="D1276" s="8"/>
    </row>
    <row r="1277" spans="1:4" customFormat="1" x14ac:dyDescent="0.3">
      <c r="A1277" s="227"/>
      <c r="B1277" s="227"/>
      <c r="C1277" s="227"/>
      <c r="D1277" s="8"/>
    </row>
    <row r="1278" spans="1:4" customFormat="1" x14ac:dyDescent="0.3">
      <c r="A1278" s="227"/>
      <c r="B1278" s="227"/>
      <c r="C1278" s="227"/>
      <c r="D1278" s="8"/>
    </row>
    <row r="1279" spans="1:4" customFormat="1" x14ac:dyDescent="0.3">
      <c r="A1279" s="227"/>
      <c r="B1279" s="227"/>
      <c r="C1279" s="227"/>
      <c r="D1279" s="8"/>
    </row>
    <row r="1280" spans="1:4" customFormat="1" x14ac:dyDescent="0.3">
      <c r="A1280" s="227"/>
      <c r="B1280" s="227"/>
      <c r="C1280" s="227"/>
      <c r="D1280" s="8"/>
    </row>
    <row r="1281" spans="1:4" customFormat="1" x14ac:dyDescent="0.3">
      <c r="A1281" s="227"/>
      <c r="B1281" s="227"/>
      <c r="C1281" s="227"/>
      <c r="D1281" s="8"/>
    </row>
    <row r="1282" spans="1:4" customFormat="1" x14ac:dyDescent="0.3">
      <c r="A1282" s="227"/>
      <c r="B1282" s="227"/>
      <c r="C1282" s="227"/>
      <c r="D1282" s="8"/>
    </row>
    <row r="1283" spans="1:4" customFormat="1" x14ac:dyDescent="0.3">
      <c r="A1283" s="227"/>
      <c r="B1283" s="227"/>
      <c r="C1283" s="227"/>
      <c r="D1283" s="8"/>
    </row>
    <row r="1284" spans="1:4" customFormat="1" x14ac:dyDescent="0.3">
      <c r="A1284" s="227"/>
      <c r="B1284" s="227"/>
      <c r="C1284" s="227"/>
      <c r="D1284" s="8"/>
    </row>
    <row r="1285" spans="1:4" customFormat="1" x14ac:dyDescent="0.3">
      <c r="A1285" s="227"/>
      <c r="B1285" s="227"/>
      <c r="C1285" s="227"/>
      <c r="D1285" s="8"/>
    </row>
    <row r="1286" spans="1:4" customFormat="1" x14ac:dyDescent="0.3">
      <c r="A1286" s="227"/>
      <c r="B1286" s="227"/>
      <c r="C1286" s="227"/>
      <c r="D1286" s="8"/>
    </row>
    <row r="1287" spans="1:4" customFormat="1" x14ac:dyDescent="0.3">
      <c r="A1287" s="227"/>
      <c r="B1287" s="227"/>
      <c r="C1287" s="227"/>
      <c r="D1287" s="8"/>
    </row>
    <row r="1288" spans="1:4" customFormat="1" x14ac:dyDescent="0.3">
      <c r="A1288" s="227"/>
      <c r="B1288" s="227"/>
      <c r="C1288" s="227"/>
      <c r="D1288" s="8"/>
    </row>
    <row r="1289" spans="1:4" customFormat="1" x14ac:dyDescent="0.3">
      <c r="A1289" s="227"/>
      <c r="B1289" s="227"/>
      <c r="C1289" s="227"/>
      <c r="D1289" s="8"/>
    </row>
    <row r="1290" spans="1:4" customFormat="1" x14ac:dyDescent="0.3">
      <c r="A1290" s="227"/>
      <c r="B1290" s="227"/>
      <c r="C1290" s="227"/>
      <c r="D1290" s="8"/>
    </row>
    <row r="1291" spans="1:4" customFormat="1" x14ac:dyDescent="0.3">
      <c r="A1291" s="227"/>
      <c r="B1291" s="227"/>
      <c r="C1291" s="227"/>
      <c r="D1291" s="8"/>
    </row>
    <row r="1292" spans="1:4" customFormat="1" x14ac:dyDescent="0.3">
      <c r="A1292" s="227"/>
      <c r="B1292" s="227"/>
      <c r="C1292" s="227"/>
      <c r="D1292" s="8"/>
    </row>
    <row r="1293" spans="1:4" customFormat="1" x14ac:dyDescent="0.3">
      <c r="A1293" s="227"/>
      <c r="B1293" s="227"/>
      <c r="C1293" s="227"/>
      <c r="D1293" s="8"/>
    </row>
    <row r="1294" spans="1:4" customFormat="1" x14ac:dyDescent="0.3">
      <c r="A1294" s="227"/>
      <c r="B1294" s="227"/>
      <c r="C1294" s="227"/>
      <c r="D1294" s="8"/>
    </row>
    <row r="1295" spans="1:4" customFormat="1" x14ac:dyDescent="0.3">
      <c r="A1295" s="227"/>
      <c r="B1295" s="227"/>
      <c r="C1295" s="227"/>
      <c r="D1295" s="8"/>
    </row>
    <row r="1296" spans="1:4" customFormat="1" x14ac:dyDescent="0.3">
      <c r="A1296" s="227"/>
      <c r="B1296" s="227"/>
      <c r="C1296" s="227"/>
      <c r="D1296" s="8"/>
    </row>
    <row r="1297" spans="1:4" customFormat="1" x14ac:dyDescent="0.3">
      <c r="A1297" s="227"/>
      <c r="B1297" s="227"/>
      <c r="C1297" s="227"/>
      <c r="D1297" s="8"/>
    </row>
    <row r="1298" spans="1:4" customFormat="1" x14ac:dyDescent="0.3">
      <c r="A1298" s="227"/>
      <c r="B1298" s="227"/>
      <c r="C1298" s="227"/>
      <c r="D1298" s="8"/>
    </row>
    <row r="1299" spans="1:4" customFormat="1" x14ac:dyDescent="0.3">
      <c r="A1299" s="227"/>
      <c r="B1299" s="227"/>
      <c r="C1299" s="227"/>
      <c r="D1299" s="8"/>
    </row>
    <row r="1300" spans="1:4" customFormat="1" x14ac:dyDescent="0.3">
      <c r="A1300" s="227"/>
      <c r="B1300" s="227"/>
      <c r="C1300" s="227"/>
      <c r="D1300" s="8"/>
    </row>
    <row r="1301" spans="1:4" customFormat="1" x14ac:dyDescent="0.3">
      <c r="A1301" s="227"/>
      <c r="B1301" s="227"/>
      <c r="C1301" s="227"/>
      <c r="D1301" s="8"/>
    </row>
    <row r="1302" spans="1:4" customFormat="1" x14ac:dyDescent="0.3">
      <c r="A1302" s="227"/>
      <c r="B1302" s="227"/>
      <c r="C1302" s="227"/>
      <c r="D1302" s="8"/>
    </row>
    <row r="1303" spans="1:4" customFormat="1" x14ac:dyDescent="0.3">
      <c r="A1303" s="227"/>
      <c r="B1303" s="227"/>
      <c r="C1303" s="227"/>
      <c r="D1303" s="8"/>
    </row>
    <row r="1304" spans="1:4" customFormat="1" x14ac:dyDescent="0.3">
      <c r="A1304" s="227"/>
      <c r="B1304" s="227"/>
      <c r="C1304" s="227"/>
      <c r="D1304" s="8"/>
    </row>
    <row r="1305" spans="1:4" customFormat="1" x14ac:dyDescent="0.3">
      <c r="A1305" s="227"/>
      <c r="B1305" s="227"/>
      <c r="C1305" s="227"/>
      <c r="D1305" s="8"/>
    </row>
    <row r="1306" spans="1:4" customFormat="1" x14ac:dyDescent="0.3">
      <c r="A1306" s="227"/>
      <c r="B1306" s="227"/>
      <c r="C1306" s="227"/>
      <c r="D1306" s="8"/>
    </row>
    <row r="1307" spans="1:4" customFormat="1" x14ac:dyDescent="0.3">
      <c r="A1307" s="227"/>
      <c r="B1307" s="227"/>
      <c r="C1307" s="227"/>
      <c r="D1307" s="8"/>
    </row>
    <row r="1308" spans="1:4" customFormat="1" x14ac:dyDescent="0.3">
      <c r="A1308" s="227"/>
      <c r="B1308" s="227"/>
      <c r="C1308" s="227"/>
      <c r="D1308" s="8"/>
    </row>
    <row r="1309" spans="1:4" customFormat="1" x14ac:dyDescent="0.3">
      <c r="A1309" s="227"/>
      <c r="B1309" s="227"/>
      <c r="C1309" s="227"/>
      <c r="D1309" s="8"/>
    </row>
    <row r="1310" spans="1:4" customFormat="1" x14ac:dyDescent="0.3">
      <c r="A1310" s="227"/>
      <c r="B1310" s="227"/>
      <c r="C1310" s="227"/>
      <c r="D1310" s="8"/>
    </row>
    <row r="1311" spans="1:4" customFormat="1" x14ac:dyDescent="0.3">
      <c r="A1311" s="227"/>
      <c r="B1311" s="227"/>
      <c r="C1311" s="227"/>
      <c r="D1311" s="8"/>
    </row>
    <row r="1312" spans="1:4" customFormat="1" x14ac:dyDescent="0.3">
      <c r="A1312" s="227"/>
      <c r="B1312" s="227"/>
      <c r="C1312" s="227"/>
      <c r="D1312" s="8"/>
    </row>
    <row r="1313" spans="2:3" x14ac:dyDescent="0.3">
      <c r="B1313" s="228"/>
      <c r="C1313" s="228"/>
    </row>
    <row r="1314" spans="2:3" x14ac:dyDescent="0.3">
      <c r="B1314" s="228"/>
      <c r="C1314" s="228"/>
    </row>
    <row r="1315" spans="2:3" x14ac:dyDescent="0.3">
      <c r="B1315" s="228"/>
      <c r="C1315" s="228"/>
    </row>
    <row r="1316" spans="2:3" x14ac:dyDescent="0.3">
      <c r="B1316" s="228"/>
      <c r="C1316" s="228"/>
    </row>
    <row r="1317" spans="2:3" x14ac:dyDescent="0.3">
      <c r="B1317" s="228"/>
      <c r="C1317" s="228"/>
    </row>
    <row r="1318" spans="2:3" x14ac:dyDescent="0.3">
      <c r="B1318" s="228"/>
      <c r="C1318" s="228"/>
    </row>
    <row r="1319" spans="2:3" x14ac:dyDescent="0.3">
      <c r="B1319" s="228"/>
      <c r="C1319" s="228"/>
    </row>
    <row r="1320" spans="2:3" x14ac:dyDescent="0.3">
      <c r="B1320" s="228"/>
      <c r="C1320" s="228"/>
    </row>
    <row r="1321" spans="2:3" x14ac:dyDescent="0.3">
      <c r="B1321" s="228"/>
      <c r="C1321" s="228"/>
    </row>
    <row r="1322" spans="2:3" x14ac:dyDescent="0.3">
      <c r="B1322" s="228"/>
      <c r="C1322" s="228"/>
    </row>
    <row r="1323" spans="2:3" x14ac:dyDescent="0.3">
      <c r="B1323" s="228"/>
      <c r="C1323" s="228"/>
    </row>
    <row r="1324" spans="2:3" x14ac:dyDescent="0.3">
      <c r="B1324" s="228"/>
      <c r="C1324" s="228"/>
    </row>
    <row r="1325" spans="2:3" x14ac:dyDescent="0.3">
      <c r="B1325" s="228"/>
      <c r="C1325" s="228"/>
    </row>
    <row r="1326" spans="2:3" x14ac:dyDescent="0.3">
      <c r="B1326" s="228"/>
      <c r="C1326" s="228"/>
    </row>
    <row r="1327" spans="2:3" x14ac:dyDescent="0.3">
      <c r="B1327" s="228"/>
      <c r="C1327" s="228"/>
    </row>
    <row r="1328" spans="2:3" x14ac:dyDescent="0.3">
      <c r="B1328" s="228"/>
      <c r="C1328" s="228"/>
    </row>
    <row r="1329" spans="2:3" x14ac:dyDescent="0.3">
      <c r="B1329" s="228"/>
      <c r="C1329" s="228"/>
    </row>
    <row r="1330" spans="2:3" x14ac:dyDescent="0.3">
      <c r="B1330" s="228"/>
      <c r="C1330" s="228"/>
    </row>
    <row r="1331" spans="2:3" x14ac:dyDescent="0.3">
      <c r="B1331" s="228"/>
      <c r="C1331" s="228"/>
    </row>
    <row r="1332" spans="2:3" x14ac:dyDescent="0.3">
      <c r="B1332" s="228"/>
      <c r="C1332" s="228"/>
    </row>
    <row r="1333" spans="2:3" x14ac:dyDescent="0.3">
      <c r="B1333" s="228"/>
      <c r="C1333" s="228"/>
    </row>
    <row r="1334" spans="2:3" x14ac:dyDescent="0.3">
      <c r="B1334" s="228"/>
      <c r="C1334" s="228"/>
    </row>
    <row r="1335" spans="2:3" x14ac:dyDescent="0.3">
      <c r="B1335" s="228"/>
      <c r="C1335" s="228"/>
    </row>
    <row r="1336" spans="2:3" x14ac:dyDescent="0.3">
      <c r="B1336" s="228"/>
      <c r="C1336" s="228"/>
    </row>
    <row r="1337" spans="2:3" x14ac:dyDescent="0.3">
      <c r="B1337" s="228"/>
      <c r="C1337" s="228"/>
    </row>
    <row r="1338" spans="2:3" x14ac:dyDescent="0.3">
      <c r="B1338" s="228"/>
      <c r="C1338" s="228"/>
    </row>
    <row r="1339" spans="2:3" x14ac:dyDescent="0.3">
      <c r="B1339" s="228"/>
      <c r="C1339" s="228"/>
    </row>
    <row r="1340" spans="2:3" x14ac:dyDescent="0.3">
      <c r="B1340" s="228"/>
      <c r="C1340" s="228"/>
    </row>
    <row r="1341" spans="2:3" x14ac:dyDescent="0.3">
      <c r="B1341" s="228"/>
      <c r="C1341" s="228"/>
    </row>
    <row r="1342" spans="2:3" x14ac:dyDescent="0.3">
      <c r="B1342" s="228"/>
      <c r="C1342" s="228"/>
    </row>
    <row r="1343" spans="2:3" x14ac:dyDescent="0.3">
      <c r="B1343" s="228"/>
      <c r="C1343" s="228"/>
    </row>
    <row r="1344" spans="2:3" x14ac:dyDescent="0.3">
      <c r="B1344" s="228"/>
      <c r="C1344" s="228"/>
    </row>
    <row r="1345" spans="2:3" x14ac:dyDescent="0.3">
      <c r="B1345" s="228"/>
      <c r="C1345" s="228"/>
    </row>
    <row r="1346" spans="2:3" x14ac:dyDescent="0.3">
      <c r="B1346" s="228"/>
      <c r="C1346" s="228"/>
    </row>
    <row r="1347" spans="2:3" x14ac:dyDescent="0.3">
      <c r="B1347" s="228"/>
      <c r="C1347" s="228"/>
    </row>
    <row r="1348" spans="2:3" x14ac:dyDescent="0.3">
      <c r="B1348" s="228"/>
      <c r="C1348" s="228"/>
    </row>
    <row r="1349" spans="2:3" x14ac:dyDescent="0.3">
      <c r="B1349" s="228"/>
      <c r="C1349" s="228"/>
    </row>
    <row r="1350" spans="2:3" x14ac:dyDescent="0.3">
      <c r="B1350" s="228"/>
      <c r="C1350" s="228"/>
    </row>
    <row r="1351" spans="2:3" x14ac:dyDescent="0.3">
      <c r="B1351" s="228"/>
      <c r="C1351" s="228"/>
    </row>
    <row r="1352" spans="2:3" x14ac:dyDescent="0.3">
      <c r="B1352" s="228"/>
      <c r="C1352" s="228"/>
    </row>
    <row r="1353" spans="2:3" x14ac:dyDescent="0.3">
      <c r="B1353" s="228"/>
      <c r="C1353" s="228"/>
    </row>
    <row r="1354" spans="2:3" x14ac:dyDescent="0.3">
      <c r="B1354" s="228"/>
      <c r="C1354" s="228"/>
    </row>
    <row r="1355" spans="2:3" x14ac:dyDescent="0.3">
      <c r="B1355" s="228"/>
      <c r="C1355" s="228"/>
    </row>
    <row r="1356" spans="2:3" x14ac:dyDescent="0.3">
      <c r="B1356" s="228"/>
      <c r="C1356" s="228"/>
    </row>
    <row r="1357" spans="2:3" x14ac:dyDescent="0.3">
      <c r="B1357" s="228"/>
      <c r="C1357" s="228"/>
    </row>
    <row r="1358" spans="2:3" x14ac:dyDescent="0.3">
      <c r="B1358" s="228"/>
      <c r="C1358" s="228"/>
    </row>
    <row r="1359" spans="2:3" x14ac:dyDescent="0.3">
      <c r="B1359" s="228"/>
      <c r="C1359" s="228"/>
    </row>
    <row r="1360" spans="2:3" x14ac:dyDescent="0.3">
      <c r="B1360" s="228"/>
      <c r="C1360" s="228"/>
    </row>
    <row r="1361" spans="2:3" x14ac:dyDescent="0.3">
      <c r="B1361" s="228"/>
      <c r="C1361" s="228"/>
    </row>
    <row r="1362" spans="2:3" x14ac:dyDescent="0.3">
      <c r="B1362" s="228"/>
      <c r="C1362" s="228"/>
    </row>
    <row r="1363" spans="2:3" x14ac:dyDescent="0.3">
      <c r="B1363" s="228"/>
      <c r="C1363" s="228"/>
    </row>
    <row r="1364" spans="2:3" x14ac:dyDescent="0.3">
      <c r="B1364" s="228"/>
      <c r="C1364" s="228"/>
    </row>
    <row r="1365" spans="2:3" x14ac:dyDescent="0.3">
      <c r="B1365" s="228"/>
      <c r="C1365" s="228"/>
    </row>
    <row r="1366" spans="2:3" x14ac:dyDescent="0.3">
      <c r="B1366" s="228"/>
      <c r="C1366" s="228"/>
    </row>
    <row r="1367" spans="2:3" x14ac:dyDescent="0.3">
      <c r="B1367" s="228"/>
      <c r="C1367" s="228"/>
    </row>
    <row r="1368" spans="2:3" x14ac:dyDescent="0.3">
      <c r="B1368" s="228"/>
      <c r="C1368" s="228"/>
    </row>
    <row r="1369" spans="2:3" x14ac:dyDescent="0.3">
      <c r="B1369" s="228"/>
      <c r="C1369" s="228"/>
    </row>
    <row r="1370" spans="2:3" x14ac:dyDescent="0.3">
      <c r="B1370" s="228"/>
      <c r="C1370" s="228"/>
    </row>
    <row r="1371" spans="2:3" x14ac:dyDescent="0.3">
      <c r="B1371" s="228"/>
      <c r="C1371" s="228"/>
    </row>
    <row r="1372" spans="2:3" x14ac:dyDescent="0.3">
      <c r="B1372" s="228"/>
      <c r="C1372" s="228"/>
    </row>
    <row r="1373" spans="2:3" x14ac:dyDescent="0.3">
      <c r="B1373" s="228"/>
      <c r="C1373" s="228"/>
    </row>
    <row r="1374" spans="2:3" x14ac:dyDescent="0.3">
      <c r="B1374" s="228"/>
      <c r="C1374" s="228"/>
    </row>
    <row r="1375" spans="2:3" x14ac:dyDescent="0.3">
      <c r="B1375" s="228"/>
      <c r="C1375" s="228"/>
    </row>
    <row r="1376" spans="2:3" x14ac:dyDescent="0.3">
      <c r="B1376" s="228"/>
      <c r="C1376" s="228"/>
    </row>
    <row r="1377" spans="2:3" x14ac:dyDescent="0.3">
      <c r="B1377" s="228"/>
      <c r="C1377" s="228"/>
    </row>
    <row r="1378" spans="2:3" x14ac:dyDescent="0.3">
      <c r="B1378" s="228"/>
      <c r="C1378" s="228"/>
    </row>
    <row r="1379" spans="2:3" x14ac:dyDescent="0.3">
      <c r="B1379" s="228"/>
      <c r="C1379" s="228"/>
    </row>
    <row r="1380" spans="2:3" x14ac:dyDescent="0.3">
      <c r="B1380" s="228"/>
      <c r="C1380" s="228"/>
    </row>
    <row r="1381" spans="2:3" x14ac:dyDescent="0.3">
      <c r="B1381" s="228"/>
      <c r="C1381" s="228"/>
    </row>
    <row r="1382" spans="2:3" x14ac:dyDescent="0.3">
      <c r="B1382" s="228"/>
      <c r="C1382" s="228"/>
    </row>
    <row r="1383" spans="2:3" x14ac:dyDescent="0.3">
      <c r="B1383" s="228"/>
      <c r="C1383" s="228"/>
    </row>
    <row r="1384" spans="2:3" x14ac:dyDescent="0.3">
      <c r="B1384" s="228"/>
      <c r="C1384" s="228"/>
    </row>
    <row r="1385" spans="2:3" x14ac:dyDescent="0.3">
      <c r="B1385" s="228"/>
      <c r="C1385" s="228"/>
    </row>
    <row r="1386" spans="2:3" x14ac:dyDescent="0.3">
      <c r="B1386" s="228"/>
      <c r="C1386" s="228"/>
    </row>
    <row r="1387" spans="2:3" x14ac:dyDescent="0.3">
      <c r="B1387" s="228"/>
      <c r="C1387" s="228"/>
    </row>
    <row r="1388" spans="2:3" x14ac:dyDescent="0.3">
      <c r="B1388" s="228"/>
      <c r="C1388" s="228"/>
    </row>
    <row r="1389" spans="2:3" x14ac:dyDescent="0.3">
      <c r="B1389" s="228"/>
      <c r="C1389" s="228"/>
    </row>
    <row r="1390" spans="2:3" x14ac:dyDescent="0.3">
      <c r="B1390" s="228"/>
      <c r="C1390" s="228"/>
    </row>
    <row r="1391" spans="2:3" x14ac:dyDescent="0.3">
      <c r="B1391" s="228"/>
      <c r="C1391" s="228"/>
    </row>
    <row r="1392" spans="2:3" x14ac:dyDescent="0.3">
      <c r="B1392" s="228"/>
      <c r="C1392" s="228"/>
    </row>
    <row r="1393" spans="2:3" x14ac:dyDescent="0.3">
      <c r="B1393" s="228"/>
      <c r="C1393" s="228"/>
    </row>
    <row r="1394" spans="2:3" x14ac:dyDescent="0.3">
      <c r="B1394" s="228"/>
      <c r="C1394" s="228"/>
    </row>
    <row r="1395" spans="2:3" x14ac:dyDescent="0.3">
      <c r="B1395" s="228"/>
      <c r="C1395" s="228"/>
    </row>
    <row r="1396" spans="2:3" x14ac:dyDescent="0.3">
      <c r="B1396" s="228"/>
      <c r="C1396" s="228"/>
    </row>
    <row r="1397" spans="2:3" x14ac:dyDescent="0.3">
      <c r="B1397" s="228"/>
      <c r="C1397" s="228"/>
    </row>
    <row r="1398" spans="2:3" x14ac:dyDescent="0.3">
      <c r="B1398" s="228"/>
      <c r="C1398" s="228"/>
    </row>
    <row r="1399" spans="2:3" x14ac:dyDescent="0.3">
      <c r="B1399" s="228"/>
      <c r="C1399" s="228"/>
    </row>
    <row r="1400" spans="2:3" x14ac:dyDescent="0.3">
      <c r="B1400" s="228"/>
      <c r="C1400" s="228"/>
    </row>
    <row r="1401" spans="2:3" x14ac:dyDescent="0.3">
      <c r="B1401" s="228"/>
      <c r="C1401" s="228"/>
    </row>
    <row r="1402" spans="2:3" x14ac:dyDescent="0.3">
      <c r="B1402" s="228"/>
      <c r="C1402" s="228"/>
    </row>
  </sheetData>
  <sheetProtection algorithmName="SHA-512" hashValue="Hq1YxpdAEl2z9Nbxs7kv5TI3O1tc94qONPKhWD62PH1mP6m0UW9I8PzFMO/J6+9C8OIPkmA/A+keoLGgHjX45A==" saltValue="pHSIAfAm9CQGql/BR9VLWA==" spinCount="100000" sheet="1" objects="1" scenarios="1" autoFilter="0"/>
  <mergeCells count="60">
    <mergeCell ref="D41:N41"/>
    <mergeCell ref="D56:N56"/>
    <mergeCell ref="A1:N1"/>
    <mergeCell ref="A2:N2"/>
    <mergeCell ref="A3:N3"/>
    <mergeCell ref="B10:C10"/>
    <mergeCell ref="D6:I6"/>
    <mergeCell ref="D10:H10"/>
    <mergeCell ref="K4:M4"/>
    <mergeCell ref="D49:N49"/>
    <mergeCell ref="D50:N50"/>
    <mergeCell ref="D54:N54"/>
    <mergeCell ref="D61:N61"/>
    <mergeCell ref="D58:N58"/>
    <mergeCell ref="B11:C11"/>
    <mergeCell ref="D57:N57"/>
    <mergeCell ref="D15:H15"/>
    <mergeCell ref="J11:M11"/>
    <mergeCell ref="D46:N46"/>
    <mergeCell ref="D11:H11"/>
    <mergeCell ref="D14:H14"/>
    <mergeCell ref="D16:H16"/>
    <mergeCell ref="D13:H13"/>
    <mergeCell ref="D12:H12"/>
    <mergeCell ref="B12:C12"/>
    <mergeCell ref="B13:C13"/>
    <mergeCell ref="D48:N48"/>
    <mergeCell ref="D51:N51"/>
    <mergeCell ref="A119:B119"/>
    <mergeCell ref="A71:D71"/>
    <mergeCell ref="H71:N71"/>
    <mergeCell ref="B14:C14"/>
    <mergeCell ref="D69:N69"/>
    <mergeCell ref="D59:N59"/>
    <mergeCell ref="D55:N55"/>
    <mergeCell ref="D60:N60"/>
    <mergeCell ref="D53:N53"/>
    <mergeCell ref="D42:N42"/>
    <mergeCell ref="D43:N43"/>
    <mergeCell ref="D44:N44"/>
    <mergeCell ref="D45:N45"/>
    <mergeCell ref="D47:N47"/>
    <mergeCell ref="D52:N52"/>
    <mergeCell ref="B16:C16"/>
    <mergeCell ref="D62:N62"/>
    <mergeCell ref="A122:B122"/>
    <mergeCell ref="A121:B121"/>
    <mergeCell ref="D63:N63"/>
    <mergeCell ref="D64:N64"/>
    <mergeCell ref="D65:N65"/>
    <mergeCell ref="H74:N74"/>
    <mergeCell ref="A120:B120"/>
    <mergeCell ref="A72:N72"/>
    <mergeCell ref="D66:N66"/>
    <mergeCell ref="D67:N67"/>
    <mergeCell ref="D68:N68"/>
    <mergeCell ref="E71:F71"/>
    <mergeCell ref="H75:N75"/>
    <mergeCell ref="D70:N70"/>
    <mergeCell ref="A118:B118"/>
  </mergeCells>
  <phoneticPr fontId="12" type="noConversion"/>
  <conditionalFormatting sqref="E16:H16 E14:H14 D14:D16">
    <cfRule type="expression" dxfId="97" priority="1" stopIfTrue="1">
      <formula>ISBLANK(D14)</formula>
    </cfRule>
  </conditionalFormatting>
  <dataValidations xWindow="131" yWindow="675" count="2">
    <dataValidation type="textLength" operator="equal" allowBlank="1" showInputMessage="1" showErrorMessage="1" errorTitle="Input Error!" error="Leave blank or enter NA." prompt="Leave blank or enter NA." sqref="B74 B64:B67 B42:B46 B50:B51 B54:B62 C42:C70" xr:uid="{00000000-0002-0000-0000-000000000000}">
      <formula1>2</formula1>
    </dataValidation>
    <dataValidation type="list" allowBlank="1" showInputMessage="1" showErrorMessage="1" sqref="D6:I6" xr:uid="{00000000-0002-0000-0000-000001000000}">
      <formula1>NMConcNum</formula1>
    </dataValidation>
  </dataValidations>
  <hyperlinks>
    <hyperlink ref="A56" location="'430'!A1" display="'430'!A1" xr:uid="{00000000-0004-0000-0000-000000000000}"/>
    <hyperlink ref="A52" location="'345'!A1" display="'345'!A1" xr:uid="{00000000-0004-0000-0000-000001000000}"/>
    <hyperlink ref="A53" location="'355'!A1" display="'355'!A1" xr:uid="{00000000-0004-0000-0000-000002000000}"/>
    <hyperlink ref="A57" location="'515'!A1" display="'515'!A1" xr:uid="{00000000-0004-0000-0000-000003000000}"/>
    <hyperlink ref="A58" location="'520'!A1" display="'520'!A1" xr:uid="{00000000-0004-0000-0000-000004000000}"/>
    <hyperlink ref="A59" location="'525'!A1" display="'525'!A1" xr:uid="{00000000-0004-0000-0000-000005000000}"/>
    <hyperlink ref="A60" location="'530'!A1" display="'530'!A1" xr:uid="{00000000-0004-0000-0000-000006000000}"/>
    <hyperlink ref="A65" location="'625'!A1" display="'625'!A1" xr:uid="{00000000-0004-0000-0000-000007000000}"/>
    <hyperlink ref="D56:K56" location="'430'!A1" display="Fund Equity Restatement (Part 1 of 2)" xr:uid="{00000000-0004-0000-0000-000008000000}"/>
    <hyperlink ref="D52:K52" location="'345'!A1" display="Contingencies" xr:uid="{00000000-0004-0000-0000-000009000000}"/>
    <hyperlink ref="D53:K53" location="'355'!A1" display="Subsequent Events/Other Items" xr:uid="{00000000-0004-0000-0000-00000A000000}"/>
    <hyperlink ref="A63" location="'610'!A1" display="'610'!A1" xr:uid="{00000000-0004-0000-0000-00000B000000}"/>
    <hyperlink ref="D63:K63" location="'610'!A1" display="Significant Transactions Between Component Units and Analysis of Federal Grants" xr:uid="{00000000-0004-0000-0000-00000C000000}"/>
    <hyperlink ref="D57:K57" location="'515'!A1" display="Schedule of Due From / Restricted Due From Primary Government" xr:uid="{00000000-0004-0000-0000-00000D000000}"/>
    <hyperlink ref="D58:K58" location="'520'!A1" display="Schedule of Due To Primary Government" xr:uid="{00000000-0004-0000-0000-00000E000000}"/>
    <hyperlink ref="D59:K59" location="'525'!A1" display="Schedule of Due from State of NC Component Units" xr:uid="{00000000-0004-0000-0000-00000F000000}"/>
    <hyperlink ref="D60:K60" location="'530'!A1" display="Schedule of Due to State of NC Component Units" xr:uid="{00000000-0004-0000-0000-000010000000}"/>
    <hyperlink ref="D65:K65" location="'625'!A1" display="Management Discussion and Analysis Schedule" xr:uid="{00000000-0004-0000-0000-000011000000}"/>
    <hyperlink ref="A64" location="'615'!A1" display="'615'!A1" xr:uid="{00000000-0004-0000-0000-000012000000}"/>
    <hyperlink ref="D64:K64" location="'615'!A1" display="Foundations Survey" xr:uid="{00000000-0004-0000-0000-000013000000}"/>
    <hyperlink ref="A61" location="'535'!A1" display="'535'!A1" xr:uid="{00000000-0004-0000-0000-000014000000}"/>
    <hyperlink ref="D61:K61" location="'535'!A1" display="Schedule of Advances" xr:uid="{00000000-0004-0000-0000-000015000000}"/>
    <hyperlink ref="A67" location="'Comments '!A1" display="Comm" xr:uid="{00000000-0004-0000-0000-000016000000}"/>
    <hyperlink ref="D67:K67" location="End!A1" display="Your Comments and Suggestions" xr:uid="{00000000-0004-0000-0000-000017000000}"/>
    <hyperlink ref="D66:N66" location="Explanations!A1" display="Worksheet Explanations" xr:uid="{00000000-0004-0000-0000-000018000000}"/>
    <hyperlink ref="A66" location="Explanations!A1" display="Exp" xr:uid="{00000000-0004-0000-0000-000019000000}"/>
    <hyperlink ref="D68:N68" location="Agencies!C1" display="List of Agency Names and Numbers" xr:uid="{00000000-0004-0000-0000-00001A000000}"/>
    <hyperlink ref="A68" location="Agencies!C1" display="Agencies" xr:uid="{00000000-0004-0000-0000-00001B000000}"/>
    <hyperlink ref="D67:N67" location="'Comments '!A1" display="Your Comments and Suggestions" xr:uid="{00000000-0004-0000-0000-00001C000000}"/>
    <hyperlink ref="A46" location="Variances!A1" display="Variances" xr:uid="{00000000-0004-0000-0000-00001D000000}"/>
    <hyperlink ref="A42" location="GASB_Stmts!A1" display="GASB_Stmts!A1" xr:uid="{00000000-0004-0000-0000-00001E000000}"/>
    <hyperlink ref="A43" location="FASB_Stmts!A1" display="FASB_Stmts!A1" xr:uid="{00000000-0004-0000-0000-00001F000000}"/>
    <hyperlink ref="A45" location="AnnualReport_Stmts!A1" display="AnnualReport_Stmts!A1" xr:uid="{00000000-0004-0000-0000-000021000000}"/>
    <hyperlink ref="D42:K42" location="'ExhA&amp;B'!A1" display="'ExhA&amp;B'!A1" xr:uid="{00000000-0004-0000-0000-000022000000}"/>
    <hyperlink ref="D46:K46" location="Comments!A1" display="Comments!A1" xr:uid="{00000000-0004-0000-0000-000023000000}"/>
    <hyperlink ref="D43:K43" location="'ExhA&amp;B'!A1" display="'ExhA&amp;B'!A1" xr:uid="{00000000-0004-0000-0000-000024000000}"/>
    <hyperlink ref="D42:N42" location="GASB_Stmts!A1" display="GASB_Stmts!A1" xr:uid="{00000000-0004-0000-0000-000025000000}"/>
    <hyperlink ref="D43:N43" location="FASB_Stmts!A1" display="FASB_Stmts!A1" xr:uid="{00000000-0004-0000-0000-000026000000}"/>
    <hyperlink ref="D44:N44" location="FASB_Adj!A1" display="FASB_Adj!A1" xr:uid="{00000000-0004-0000-0000-000027000000}"/>
    <hyperlink ref="D45:N45" location="AnnualReport_Stmts!A1" display="Offline Component Unit Financial Statements - Comprehensive Annual Financial Report Format" xr:uid="{00000000-0004-0000-0000-000028000000}"/>
    <hyperlink ref="D46:N46" location="Variances!A1" display="Worksheet for computing variances for Analytical Review worksheet 625" xr:uid="{00000000-0004-0000-0000-000029000000}"/>
    <hyperlink ref="D69:N69" location="'All Agencies'!C1" display="List of All Agencies included in State of NC Reporting Entity " xr:uid="{00000000-0004-0000-0000-00002A000000}"/>
    <hyperlink ref="A69" location="'All Agencies'!C1" display="All Agencies" xr:uid="{00000000-0004-0000-0000-00002B000000}"/>
    <hyperlink ref="D70:N70" location="PriorYrBal!C1" display="Prior Year Balances per CAFR for Analytical Review" xr:uid="{00000000-0004-0000-0000-00002C000000}"/>
    <hyperlink ref="A70" location="PriorYrBal!C1" display="PriorYrBal" xr:uid="{00000000-0004-0000-0000-00002D000000}"/>
    <hyperlink ref="A55" location="'420'!A1" display="'420'!A1" xr:uid="{00000000-0004-0000-0000-00002E000000}"/>
    <hyperlink ref="D55:K55" location="'355'!A1" display="Subsequent Events/Other Items" xr:uid="{00000000-0004-0000-0000-00002F000000}"/>
    <hyperlink ref="D55:N55" location="'420'!A1" display="Restricted and Unrestricted Net Position" xr:uid="{00000000-0004-0000-0000-000030000000}"/>
    <hyperlink ref="D47:N47" location="'110'!A1" display="Service Concession Arrangements" xr:uid="{00000000-0004-0000-0000-000031000000}"/>
    <hyperlink ref="A47" location="'110'!A1" display="'110'!A1" xr:uid="{00000000-0004-0000-0000-000032000000}"/>
    <hyperlink ref="A51" location="'338'!A1" display="'338'!A1" xr:uid="{00000000-0004-0000-0000-000033000000}"/>
    <hyperlink ref="D51:N51" location="'338'!A1" display="Nonexchange Financial Guarantees" xr:uid="{00000000-0004-0000-0000-000034000000}"/>
    <hyperlink ref="D48:N48" location="'115'!A1" display="Entity Information" xr:uid="{00000000-0004-0000-0000-000035000000}"/>
    <hyperlink ref="A48" location="'115'!A1" display="'115'!A1" xr:uid="{00000000-0004-0000-0000-000036000000}"/>
    <hyperlink ref="D49:N49" location="'120'!A1" display="Government Combinations and Disposal of Government Operations" xr:uid="{00000000-0004-0000-0000-000037000000}"/>
    <hyperlink ref="A49" location="'120'!A1" display="'120'!A1" xr:uid="{00000000-0004-0000-0000-000038000000}"/>
    <hyperlink ref="A62" location="'602'!A1" display="602" xr:uid="{00000000-0004-0000-0000-000039000000}"/>
    <hyperlink ref="D62:N62" location="'602'!A1" display="Employer Contribution Amounts for TSERS and OPEB  (NEW FOR 2018)" xr:uid="{00000000-0004-0000-0000-00003A000000}"/>
    <hyperlink ref="D50:N50" location="'323'!A1" display="Certain Asset Retirement Obligations" xr:uid="{571B44DE-23FE-4D69-AEBA-49BA2BCEDA6E}"/>
    <hyperlink ref="A50" location="'323'!A1" display="'323'!A1" xr:uid="{004FA07A-6C57-4374-8CB2-F4ED2C6621FD}"/>
    <hyperlink ref="D54:N54" location="'375'!A1" display="CAFR Reporting for Federal Coronavirus (COVID- 19) New Workbook (FY 2020)" xr:uid="{CEC998F3-DB9F-4DF8-878E-F832BF641DF5}"/>
    <hyperlink ref="A54" location="'375'!A1" display="'375'!A1" xr:uid="{D901C4F2-7292-43AE-8514-370701FD51F3}"/>
    <hyperlink ref="A44" location="FASB_Adj!A1" display="FASB_Adj!A1" xr:uid="{00000000-0004-0000-0000-000020000000}"/>
  </hyperlinks>
  <pageMargins left="0.95" right="0.2" top="0.25" bottom="0.25" header="0.3" footer="0.25"/>
  <pageSetup scale="66" orientation="portrait" r:id="rId1"/>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filterMode="1">
    <pageSetUpPr fitToPage="1"/>
  </sheetPr>
  <dimension ref="A1:P114"/>
  <sheetViews>
    <sheetView showGridLines="0" topLeftCell="B1" zoomScaleNormal="100" workbookViewId="0">
      <selection activeCell="S27" sqref="S27"/>
    </sheetView>
  </sheetViews>
  <sheetFormatPr defaultColWidth="9.109375" defaultRowHeight="12.6" x14ac:dyDescent="0.25"/>
  <cols>
    <col min="1" max="1" width="9.109375" style="400" hidden="1" customWidth="1"/>
    <col min="2" max="3" width="3.44140625" style="400" customWidth="1"/>
    <col min="4" max="4" width="7.5546875" style="400" customWidth="1"/>
    <col min="5" max="5" width="8.5546875" style="400" customWidth="1"/>
    <col min="6" max="6" width="10.109375" style="400" customWidth="1"/>
    <col min="7" max="7" width="10.44140625" style="400" customWidth="1"/>
    <col min="8" max="8" width="8.5546875" style="400" customWidth="1"/>
    <col min="9" max="9" width="7.44140625" style="400" customWidth="1"/>
    <col min="10" max="10" width="21.5546875" style="400" customWidth="1"/>
    <col min="11" max="11" width="4.5546875" style="400" customWidth="1"/>
    <col min="12" max="12" width="13.33203125" style="400" customWidth="1"/>
    <col min="13" max="16384" width="9.109375" style="400"/>
  </cols>
  <sheetData>
    <row r="1" spans="2:12" ht="15.6" x14ac:dyDescent="0.3">
      <c r="B1" s="847" t="str">
        <f>+Index!$A$1</f>
        <v>Office of the State Controller</v>
      </c>
      <c r="C1" s="926"/>
      <c r="D1" s="926"/>
      <c r="E1" s="926"/>
      <c r="F1" s="926"/>
      <c r="G1" s="926"/>
      <c r="H1" s="926"/>
      <c r="I1" s="926"/>
      <c r="J1" s="926"/>
      <c r="K1" s="926"/>
      <c r="L1" s="926"/>
    </row>
    <row r="2" spans="2:12" ht="15.6" x14ac:dyDescent="0.3">
      <c r="B2" s="903" t="str">
        <f>+Index!$A$2</f>
        <v>2022 ACFR Worksheets for Nonmajor Component Units</v>
      </c>
      <c r="C2" s="903"/>
      <c r="D2" s="903"/>
      <c r="E2" s="903"/>
      <c r="F2" s="903"/>
      <c r="G2" s="903"/>
      <c r="H2" s="903"/>
      <c r="I2" s="903"/>
      <c r="J2" s="903"/>
      <c r="K2" s="903"/>
      <c r="L2" s="903"/>
    </row>
    <row r="3" spans="2:12" ht="15.6" x14ac:dyDescent="0.3">
      <c r="B3" s="904" t="s">
        <v>880</v>
      </c>
      <c r="C3" s="904"/>
      <c r="D3" s="904"/>
      <c r="E3" s="904"/>
      <c r="F3" s="904"/>
      <c r="G3" s="904"/>
      <c r="H3" s="904"/>
      <c r="I3" s="904"/>
      <c r="J3" s="904"/>
      <c r="K3" s="904"/>
      <c r="L3" s="904"/>
    </row>
    <row r="4" spans="2:12" ht="12" customHeight="1" x14ac:dyDescent="0.25">
      <c r="B4" s="401"/>
      <c r="C4" s="401"/>
      <c r="D4" s="401"/>
      <c r="E4" s="401"/>
      <c r="F4" s="401"/>
      <c r="G4" s="401"/>
      <c r="H4" s="401"/>
      <c r="I4" s="482" t="s">
        <v>914</v>
      </c>
      <c r="K4" s="403"/>
    </row>
    <row r="5" spans="2:12" ht="14.85" customHeight="1" x14ac:dyDescent="0.25">
      <c r="B5" s="404"/>
      <c r="C5" s="404"/>
      <c r="D5" s="404"/>
      <c r="E5" s="405"/>
      <c r="F5" s="406"/>
      <c r="G5" s="407" t="s">
        <v>357</v>
      </c>
      <c r="H5" s="908" t="str">
        <f>Index!$D$10</f>
        <v>0A</v>
      </c>
      <c r="I5" s="908"/>
      <c r="J5" s="908"/>
      <c r="K5" s="458"/>
    </row>
    <row r="6" spans="2:12" ht="13.2" x14ac:dyDescent="0.25">
      <c r="B6" s="404"/>
      <c r="C6" s="404"/>
      <c r="D6" s="404"/>
      <c r="E6" s="404"/>
      <c r="F6" s="408"/>
      <c r="G6" s="407" t="s">
        <v>358</v>
      </c>
      <c r="H6" s="957" t="str">
        <f>Index!$D$11</f>
        <v>NC Housing Finance Agency</v>
      </c>
      <c r="I6" s="957"/>
      <c r="J6" s="957"/>
      <c r="K6" s="458"/>
    </row>
    <row r="7" spans="2:12" ht="13.2" x14ac:dyDescent="0.25">
      <c r="B7" s="905" t="s">
        <v>747</v>
      </c>
      <c r="C7" s="906"/>
      <c r="D7" s="906"/>
      <c r="E7" s="409" t="s">
        <v>68</v>
      </c>
      <c r="F7" s="401"/>
      <c r="G7" s="407" t="s">
        <v>359</v>
      </c>
      <c r="H7" s="958" t="str">
        <f>CONCATENATE(Index!$D$14,"  ",Index!$D$16)</f>
        <v xml:space="preserve">  </v>
      </c>
      <c r="I7" s="958"/>
      <c r="J7" s="958"/>
      <c r="K7" s="458"/>
    </row>
    <row r="8" spans="2:12" ht="13.2" x14ac:dyDescent="0.25">
      <c r="B8" s="408"/>
      <c r="C8" s="408"/>
      <c r="D8" s="406"/>
      <c r="E8" s="401"/>
      <c r="F8" s="401"/>
      <c r="G8" s="407" t="s">
        <v>196</v>
      </c>
      <c r="H8" s="958">
        <f>+Index!$D$15</f>
        <v>0</v>
      </c>
      <c r="I8" s="958"/>
      <c r="J8" s="958"/>
      <c r="K8" s="458"/>
    </row>
    <row r="9" spans="2:12" ht="9" customHeight="1" thickBot="1" x14ac:dyDescent="0.3">
      <c r="B9" s="410"/>
      <c r="C9" s="410"/>
      <c r="D9" s="410"/>
      <c r="E9" s="410"/>
      <c r="F9" s="410"/>
      <c r="G9" s="410"/>
      <c r="H9" s="410"/>
      <c r="I9" s="410"/>
      <c r="J9" s="410"/>
      <c r="K9" s="489"/>
      <c r="L9" s="489"/>
    </row>
    <row r="10" spans="2:12" ht="4.5" customHeight="1" x14ac:dyDescent="0.25">
      <c r="B10" s="411"/>
      <c r="C10" s="411"/>
      <c r="D10" s="411"/>
      <c r="E10" s="411"/>
      <c r="F10" s="411"/>
      <c r="G10" s="411"/>
      <c r="H10" s="411"/>
      <c r="I10" s="411"/>
      <c r="J10" s="411"/>
    </row>
    <row r="11" spans="2:12" ht="12.75" customHeight="1" x14ac:dyDescent="0.25">
      <c r="B11" s="459" t="s">
        <v>881</v>
      </c>
      <c r="C11" s="933" t="s">
        <v>882</v>
      </c>
      <c r="D11" s="952"/>
      <c r="E11" s="952"/>
      <c r="F11" s="952"/>
      <c r="G11" s="952"/>
      <c r="H11" s="952"/>
      <c r="I11" s="952"/>
      <c r="J11" s="952"/>
      <c r="K11" s="952"/>
      <c r="L11" s="952"/>
    </row>
    <row r="12" spans="2:12" ht="12.75" customHeight="1" x14ac:dyDescent="0.25">
      <c r="C12" s="932" t="s">
        <v>1382</v>
      </c>
      <c r="D12" s="952"/>
      <c r="E12" s="952"/>
      <c r="F12" s="952"/>
      <c r="G12" s="952"/>
      <c r="H12" s="952"/>
      <c r="I12" s="952"/>
      <c r="J12" s="952"/>
      <c r="K12" s="952"/>
      <c r="L12" s="952"/>
    </row>
    <row r="13" spans="2:12" ht="14.25" customHeight="1" x14ac:dyDescent="0.25">
      <c r="B13" s="412"/>
      <c r="C13" s="460" t="s">
        <v>30</v>
      </c>
      <c r="D13" s="773"/>
      <c r="E13" s="461" t="s">
        <v>883</v>
      </c>
      <c r="H13" s="412"/>
      <c r="I13" s="412"/>
      <c r="J13" s="412"/>
      <c r="K13" s="413"/>
      <c r="L13" s="414"/>
    </row>
    <row r="14" spans="2:12" ht="14.25" customHeight="1" x14ac:dyDescent="0.25">
      <c r="B14" s="412"/>
      <c r="C14" s="460" t="s">
        <v>31</v>
      </c>
      <c r="D14" s="773"/>
      <c r="E14" s="412"/>
      <c r="F14" s="412"/>
      <c r="G14" s="412"/>
      <c r="H14" s="412"/>
      <c r="I14" s="412"/>
      <c r="J14" s="412"/>
      <c r="K14" s="413"/>
      <c r="L14" s="414"/>
    </row>
    <row r="15" spans="2:12" ht="11.25" customHeight="1" x14ac:dyDescent="0.25">
      <c r="D15" s="412"/>
      <c r="E15" s="412"/>
      <c r="F15" s="412"/>
      <c r="G15" s="412"/>
      <c r="H15" s="412"/>
      <c r="I15" s="412"/>
      <c r="J15" s="412"/>
      <c r="K15" s="413"/>
      <c r="L15" s="414"/>
    </row>
    <row r="16" spans="2:12" ht="11.25" customHeight="1" x14ac:dyDescent="0.25">
      <c r="B16" s="412"/>
      <c r="D16" s="412"/>
      <c r="E16" s="462" t="s">
        <v>884</v>
      </c>
      <c r="F16" s="412"/>
      <c r="G16" s="412"/>
      <c r="H16" s="412"/>
      <c r="I16" s="412"/>
      <c r="J16" s="412"/>
      <c r="K16" s="413"/>
      <c r="L16" s="414"/>
    </row>
    <row r="17" spans="2:12" ht="2.1" customHeight="1" x14ac:dyDescent="0.25">
      <c r="B17" s="412"/>
      <c r="D17" s="412"/>
      <c r="E17" s="462"/>
      <c r="F17" s="412"/>
      <c r="G17" s="412"/>
      <c r="H17" s="412"/>
      <c r="I17" s="412"/>
      <c r="J17" s="412"/>
      <c r="K17" s="413"/>
      <c r="L17" s="414"/>
    </row>
    <row r="18" spans="2:12" ht="12.75" customHeight="1" x14ac:dyDescent="0.25">
      <c r="B18" s="459" t="s">
        <v>885</v>
      </c>
      <c r="C18" s="933" t="s">
        <v>886</v>
      </c>
      <c r="D18" s="952"/>
      <c r="E18" s="952"/>
      <c r="F18" s="952"/>
      <c r="G18" s="952"/>
      <c r="H18" s="952"/>
      <c r="I18" s="952"/>
      <c r="J18" s="952"/>
      <c r="K18" s="952"/>
      <c r="L18" s="952"/>
    </row>
    <row r="19" spans="2:12" ht="12.75" customHeight="1" x14ac:dyDescent="0.25">
      <c r="B19" s="459"/>
      <c r="C19" s="932" t="s">
        <v>1383</v>
      </c>
      <c r="D19" s="926"/>
      <c r="E19" s="926"/>
      <c r="F19" s="926"/>
      <c r="G19" s="926"/>
      <c r="H19" s="926"/>
      <c r="I19" s="926"/>
      <c r="J19" s="926"/>
      <c r="K19" s="926"/>
      <c r="L19" s="926"/>
    </row>
    <row r="20" spans="2:12" ht="14.25" customHeight="1" x14ac:dyDescent="0.25">
      <c r="B20" s="412"/>
      <c r="C20" s="460" t="s">
        <v>30</v>
      </c>
      <c r="D20" s="773"/>
      <c r="E20" s="461" t="s">
        <v>887</v>
      </c>
      <c r="G20" s="412"/>
      <c r="H20" s="412"/>
      <c r="I20" s="412"/>
      <c r="J20" s="412"/>
      <c r="K20" s="413"/>
      <c r="L20" s="414"/>
    </row>
    <row r="21" spans="2:12" s="415" customFormat="1" ht="13.5" customHeight="1" x14ac:dyDescent="0.3">
      <c r="B21" s="412"/>
      <c r="C21" s="460" t="s">
        <v>31</v>
      </c>
      <c r="D21" s="773"/>
      <c r="E21" s="404"/>
      <c r="F21" s="404"/>
      <c r="G21" s="404"/>
      <c r="H21" s="404"/>
      <c r="I21" s="404"/>
      <c r="J21" s="404"/>
      <c r="K21" s="400"/>
    </row>
    <row r="22" spans="2:12" s="415" customFormat="1" ht="14.25" customHeight="1" x14ac:dyDescent="0.3">
      <c r="B22" s="412"/>
      <c r="C22" s="460"/>
      <c r="D22" s="463"/>
      <c r="E22" s="404"/>
      <c r="F22" s="404"/>
      <c r="G22" s="404"/>
      <c r="H22" s="404"/>
      <c r="I22" s="404"/>
      <c r="J22" s="404"/>
      <c r="K22" s="400"/>
    </row>
    <row r="23" spans="2:12" s="415" customFormat="1" ht="1.5" customHeight="1" x14ac:dyDescent="0.3">
      <c r="B23" s="412"/>
      <c r="C23" s="464"/>
      <c r="D23" s="464"/>
      <c r="E23" s="464"/>
      <c r="F23" s="464"/>
      <c r="G23" s="464"/>
      <c r="H23" s="464"/>
      <c r="I23" s="464"/>
      <c r="J23" s="464"/>
      <c r="K23" s="464"/>
    </row>
    <row r="24" spans="2:12" s="415" customFormat="1" ht="12.75" customHeight="1" x14ac:dyDescent="0.3">
      <c r="C24" s="930" t="s">
        <v>888</v>
      </c>
      <c r="D24" s="926"/>
      <c r="E24" s="926"/>
      <c r="F24" s="926"/>
      <c r="G24" s="926"/>
      <c r="H24" s="926"/>
      <c r="I24" s="926"/>
      <c r="J24" s="926"/>
      <c r="K24" s="926"/>
      <c r="L24" s="926"/>
    </row>
    <row r="25" spans="2:12" s="415" customFormat="1" ht="12.75" customHeight="1" x14ac:dyDescent="0.3">
      <c r="C25" s="930" t="s">
        <v>1575</v>
      </c>
      <c r="D25" s="926"/>
      <c r="E25" s="926"/>
      <c r="F25" s="926"/>
      <c r="G25" s="926"/>
      <c r="H25" s="926"/>
      <c r="I25" s="926"/>
      <c r="J25" s="926"/>
      <c r="K25" s="926"/>
      <c r="L25" s="926"/>
    </row>
    <row r="26" spans="2:12" s="415" customFormat="1" ht="3" customHeight="1" x14ac:dyDescent="0.3">
      <c r="B26" s="412"/>
      <c r="C26" s="412"/>
      <c r="D26" s="412"/>
      <c r="E26" s="412"/>
      <c r="F26" s="412"/>
      <c r="G26" s="412"/>
      <c r="H26" s="412"/>
      <c r="I26" s="412"/>
      <c r="J26" s="412"/>
      <c r="K26" s="412"/>
    </row>
    <row r="27" spans="2:12" s="415" customFormat="1" ht="12.75" customHeight="1" x14ac:dyDescent="0.3">
      <c r="B27" s="459" t="s">
        <v>889</v>
      </c>
      <c r="C27" s="933" t="s">
        <v>890</v>
      </c>
      <c r="D27" s="926"/>
      <c r="E27" s="926"/>
      <c r="F27" s="926"/>
      <c r="G27" s="926"/>
      <c r="H27" s="926"/>
      <c r="I27" s="926"/>
      <c r="J27" s="926"/>
      <c r="K27" s="926"/>
      <c r="L27" s="926"/>
    </row>
    <row r="28" spans="2:12" s="415" customFormat="1" ht="12.75" customHeight="1" x14ac:dyDescent="0.3">
      <c r="B28" s="459"/>
      <c r="C28" s="933" t="s">
        <v>891</v>
      </c>
      <c r="D28" s="926"/>
      <c r="E28" s="926"/>
      <c r="F28" s="926"/>
      <c r="G28" s="926"/>
      <c r="H28" s="926"/>
      <c r="I28" s="926"/>
      <c r="J28" s="926"/>
      <c r="K28" s="926"/>
      <c r="L28" s="926"/>
    </row>
    <row r="29" spans="2:12" s="415" customFormat="1" ht="14.25" customHeight="1" x14ac:dyDescent="0.3">
      <c r="B29" s="412"/>
      <c r="C29" s="465" t="s">
        <v>30</v>
      </c>
      <c r="D29" s="773"/>
      <c r="E29" s="461" t="s">
        <v>887</v>
      </c>
      <c r="G29" s="412"/>
      <c r="H29" s="412"/>
      <c r="I29" s="412"/>
      <c r="J29" s="412"/>
      <c r="K29" s="400"/>
    </row>
    <row r="30" spans="2:12" s="415" customFormat="1" ht="14.25" customHeight="1" x14ac:dyDescent="0.3">
      <c r="B30" s="412"/>
      <c r="C30" s="465" t="s">
        <v>31</v>
      </c>
      <c r="D30" s="774"/>
      <c r="F30" s="412"/>
      <c r="G30" s="412"/>
      <c r="H30" s="412"/>
      <c r="I30" s="412"/>
      <c r="J30" s="412"/>
      <c r="K30" s="400"/>
    </row>
    <row r="31" spans="2:12" s="415" customFormat="1" ht="11.25" customHeight="1" x14ac:dyDescent="0.3">
      <c r="B31" s="412"/>
      <c r="C31" s="465"/>
      <c r="D31" s="463"/>
      <c r="F31" s="412"/>
      <c r="G31" s="412"/>
      <c r="H31" s="412"/>
      <c r="I31" s="412"/>
      <c r="J31" s="412"/>
      <c r="K31" s="400"/>
    </row>
    <row r="32" spans="2:12" ht="2.25" customHeight="1" x14ac:dyDescent="0.25"/>
    <row r="33" spans="1:12" ht="13.2" x14ac:dyDescent="0.25">
      <c r="B33" s="466" t="s">
        <v>892</v>
      </c>
      <c r="C33" s="925" t="s">
        <v>1576</v>
      </c>
      <c r="D33" s="926"/>
      <c r="E33" s="926"/>
      <c r="F33" s="926"/>
      <c r="G33" s="926"/>
      <c r="H33" s="926"/>
      <c r="I33" s="926"/>
      <c r="J33" s="926"/>
      <c r="K33" s="926"/>
      <c r="L33" s="926"/>
    </row>
    <row r="34" spans="1:12" ht="13.2" x14ac:dyDescent="0.25">
      <c r="B34" s="466"/>
      <c r="C34" s="927" t="s">
        <v>916</v>
      </c>
      <c r="D34" s="926"/>
      <c r="E34" s="926"/>
      <c r="F34" s="926"/>
      <c r="G34" s="926"/>
      <c r="H34" s="926"/>
      <c r="I34" s="926"/>
      <c r="J34" s="926"/>
      <c r="K34" s="926"/>
      <c r="L34" s="926"/>
    </row>
    <row r="35" spans="1:12" ht="13.2" x14ac:dyDescent="0.25">
      <c r="B35" s="466"/>
      <c r="C35" s="927" t="s">
        <v>917</v>
      </c>
      <c r="D35" s="926"/>
      <c r="E35" s="926"/>
      <c r="F35" s="926"/>
      <c r="G35" s="926"/>
      <c r="H35" s="926"/>
      <c r="I35" s="926"/>
      <c r="J35" s="926"/>
      <c r="K35" s="926"/>
      <c r="L35" s="926"/>
    </row>
    <row r="36" spans="1:12" ht="14.25" customHeight="1" x14ac:dyDescent="0.25">
      <c r="B36" s="466"/>
      <c r="C36" s="925" t="s">
        <v>1577</v>
      </c>
      <c r="D36" s="926"/>
      <c r="E36" s="926"/>
      <c r="F36" s="926"/>
      <c r="G36" s="926"/>
      <c r="H36" s="926"/>
      <c r="I36" s="926"/>
      <c r="J36" s="926"/>
      <c r="K36" s="926"/>
      <c r="L36" s="926"/>
    </row>
    <row r="37" spans="1:12" ht="2.1" customHeight="1" x14ac:dyDescent="0.25">
      <c r="B37" s="466"/>
      <c r="C37" s="931"/>
      <c r="D37" s="931"/>
      <c r="E37" s="931"/>
      <c r="F37" s="931"/>
      <c r="G37" s="931"/>
      <c r="H37" s="467"/>
      <c r="I37" s="467"/>
      <c r="J37" s="467"/>
    </row>
    <row r="38" spans="1:12" ht="14.1" customHeight="1" x14ac:dyDescent="0.25">
      <c r="B38" s="466"/>
      <c r="C38" s="927" t="s">
        <v>893</v>
      </c>
      <c r="D38" s="926"/>
      <c r="E38" s="926"/>
      <c r="F38" s="926"/>
      <c r="G38" s="926"/>
      <c r="H38" s="926"/>
      <c r="I38" s="926"/>
      <c r="J38" s="926"/>
      <c r="K38" s="926"/>
      <c r="L38" s="926"/>
    </row>
    <row r="39" spans="1:12" ht="13.2" x14ac:dyDescent="0.25">
      <c r="B39" s="466"/>
      <c r="D39" s="468" t="s">
        <v>894</v>
      </c>
      <c r="E39" s="467"/>
      <c r="F39" s="467"/>
      <c r="H39" s="468" t="s">
        <v>895</v>
      </c>
      <c r="I39" s="467"/>
      <c r="J39" s="467"/>
    </row>
    <row r="40" spans="1:12" ht="11.25" customHeight="1" x14ac:dyDescent="0.25">
      <c r="B40" s="466"/>
      <c r="C40" s="412"/>
      <c r="D40" s="465" t="s">
        <v>30</v>
      </c>
      <c r="E40" s="773"/>
      <c r="F40" s="467"/>
      <c r="H40" s="465" t="s">
        <v>30</v>
      </c>
      <c r="I40" s="773"/>
      <c r="J40" s="467"/>
    </row>
    <row r="41" spans="1:12" ht="12" customHeight="1" x14ac:dyDescent="0.25">
      <c r="B41" s="466"/>
      <c r="C41" s="412"/>
      <c r="D41" s="465" t="s">
        <v>31</v>
      </c>
      <c r="E41" s="774"/>
      <c r="F41" s="467"/>
      <c r="H41" s="465" t="s">
        <v>31</v>
      </c>
      <c r="I41" s="774"/>
      <c r="J41" s="467"/>
    </row>
    <row r="42" spans="1:12" ht="13.2" x14ac:dyDescent="0.25">
      <c r="B42" s="466"/>
      <c r="C42" s="412"/>
      <c r="D42" s="465"/>
      <c r="E42" s="463"/>
      <c r="F42" s="467"/>
      <c r="H42" s="465" t="s">
        <v>185</v>
      </c>
      <c r="I42" s="774"/>
      <c r="J42" s="440" t="s">
        <v>896</v>
      </c>
    </row>
    <row r="43" spans="1:12" ht="1.5" customHeight="1" x14ac:dyDescent="0.25">
      <c r="B43" s="466"/>
      <c r="C43" s="412"/>
      <c r="D43" s="465"/>
      <c r="E43" s="463"/>
      <c r="F43" s="467"/>
      <c r="G43" s="465"/>
      <c r="H43" s="463"/>
      <c r="I43" s="469"/>
      <c r="J43" s="467"/>
    </row>
    <row r="44" spans="1:12" ht="13.8" hidden="1" x14ac:dyDescent="0.3">
      <c r="A44" s="481"/>
      <c r="B44" s="466"/>
      <c r="C44" s="928" t="s">
        <v>1005</v>
      </c>
      <c r="D44" s="929"/>
      <c r="E44" s="929"/>
      <c r="F44" s="929"/>
      <c r="G44" s="929"/>
      <c r="H44" s="929"/>
      <c r="I44" s="929"/>
      <c r="J44" s="929"/>
      <c r="K44" s="929"/>
      <c r="L44" s="929"/>
    </row>
    <row r="45" spans="1:12" ht="13.2" x14ac:dyDescent="0.25">
      <c r="A45" s="481"/>
      <c r="B45" s="466"/>
      <c r="C45" s="490" t="s">
        <v>939</v>
      </c>
      <c r="D45" s="467"/>
      <c r="E45" s="467"/>
      <c r="F45" s="467"/>
      <c r="G45" s="467"/>
      <c r="H45" s="467"/>
      <c r="I45" s="467"/>
      <c r="J45" s="467"/>
    </row>
    <row r="46" spans="1:12" ht="3" customHeight="1" x14ac:dyDescent="0.25">
      <c r="A46" s="481"/>
      <c r="B46" s="466"/>
      <c r="C46" s="490"/>
      <c r="D46" s="467"/>
      <c r="E46" s="467"/>
      <c r="F46" s="467"/>
      <c r="G46" s="467"/>
      <c r="H46" s="467"/>
      <c r="I46" s="467"/>
      <c r="J46" s="467"/>
    </row>
    <row r="47" spans="1:12" ht="13.2" x14ac:dyDescent="0.25">
      <c r="A47" s="471"/>
      <c r="B47" s="471"/>
      <c r="C47" s="953" t="s">
        <v>934</v>
      </c>
      <c r="D47" s="954"/>
      <c r="E47" s="955"/>
      <c r="F47" s="956" t="s">
        <v>898</v>
      </c>
      <c r="G47" s="956"/>
      <c r="H47" s="956"/>
      <c r="I47" s="956"/>
      <c r="J47" s="956"/>
      <c r="K47" s="956"/>
      <c r="L47" s="956"/>
    </row>
    <row r="48" spans="1:12" ht="12.75" hidden="1" customHeight="1" x14ac:dyDescent="0.25">
      <c r="C48" s="910" t="s">
        <v>742</v>
      </c>
      <c r="D48" s="910"/>
      <c r="E48" s="910"/>
      <c r="F48" s="921" t="s">
        <v>742</v>
      </c>
      <c r="G48" s="921"/>
      <c r="H48" s="921"/>
      <c r="I48" s="921"/>
      <c r="J48" s="921"/>
      <c r="K48" s="921"/>
      <c r="L48" s="921"/>
    </row>
    <row r="49" spans="1:16" ht="12.75" hidden="1" customHeight="1" x14ac:dyDescent="0.25">
      <c r="A49" s="472"/>
      <c r="B49" s="473"/>
      <c r="C49" s="910" t="s">
        <v>742</v>
      </c>
      <c r="D49" s="910"/>
      <c r="E49" s="910"/>
      <c r="F49" s="914" t="s">
        <v>915</v>
      </c>
      <c r="G49" s="914"/>
      <c r="H49" s="914"/>
      <c r="I49" s="914"/>
      <c r="J49" s="914"/>
      <c r="K49" s="914"/>
      <c r="L49" s="914"/>
      <c r="M49" s="404"/>
      <c r="N49" s="404"/>
    </row>
    <row r="50" spans="1:16" ht="104.25" hidden="1" customHeight="1" x14ac:dyDescent="0.25">
      <c r="A50" s="472"/>
      <c r="B50" s="472"/>
      <c r="C50" s="910" t="s">
        <v>742</v>
      </c>
      <c r="D50" s="910"/>
      <c r="E50" s="910"/>
      <c r="F50" s="922" t="s">
        <v>1048</v>
      </c>
      <c r="G50" s="923"/>
      <c r="H50" s="923"/>
      <c r="I50" s="923"/>
      <c r="J50" s="923"/>
      <c r="K50" s="923"/>
      <c r="L50" s="924"/>
      <c r="M50" s="426"/>
      <c r="N50" s="426"/>
    </row>
    <row r="51" spans="1:16" ht="12.75" hidden="1" customHeight="1" x14ac:dyDescent="0.25">
      <c r="A51" s="472"/>
      <c r="B51" s="472"/>
      <c r="C51" s="910" t="s">
        <v>742</v>
      </c>
      <c r="D51" s="910"/>
      <c r="E51" s="910"/>
      <c r="F51" s="914" t="s">
        <v>899</v>
      </c>
      <c r="G51" s="914"/>
      <c r="H51" s="914"/>
      <c r="I51" s="914"/>
      <c r="J51" s="914"/>
      <c r="K51" s="914"/>
      <c r="L51" s="914"/>
      <c r="M51" s="426"/>
      <c r="N51" s="426"/>
    </row>
    <row r="52" spans="1:16" ht="12.75" hidden="1" customHeight="1" x14ac:dyDescent="0.25">
      <c r="A52" s="472"/>
      <c r="B52" s="472"/>
      <c r="C52" s="910" t="s">
        <v>742</v>
      </c>
      <c r="D52" s="910"/>
      <c r="E52" s="910"/>
      <c r="F52" s="915" t="s">
        <v>742</v>
      </c>
      <c r="G52" s="916"/>
      <c r="H52" s="916"/>
      <c r="I52" s="916"/>
      <c r="J52" s="916"/>
      <c r="K52" s="916"/>
      <c r="L52" s="917"/>
      <c r="M52" s="426"/>
      <c r="N52" s="426"/>
    </row>
    <row r="53" spans="1:16" ht="12.75" hidden="1" customHeight="1" x14ac:dyDescent="0.25">
      <c r="A53" s="472"/>
      <c r="B53" s="472"/>
      <c r="C53" s="910" t="s">
        <v>742</v>
      </c>
      <c r="D53" s="910"/>
      <c r="E53" s="910"/>
      <c r="F53" s="918" t="s">
        <v>900</v>
      </c>
      <c r="G53" s="919"/>
      <c r="H53" s="919"/>
      <c r="I53" s="919"/>
      <c r="J53" s="919"/>
      <c r="K53" s="919"/>
      <c r="L53" s="920"/>
    </row>
    <row r="54" spans="1:16" ht="12.75" hidden="1" customHeight="1" x14ac:dyDescent="0.25">
      <c r="A54" s="472"/>
      <c r="B54" s="472"/>
      <c r="C54" s="910" t="s">
        <v>742</v>
      </c>
      <c r="D54" s="910"/>
      <c r="E54" s="910"/>
      <c r="F54" s="911" t="s">
        <v>901</v>
      </c>
      <c r="G54" s="912"/>
      <c r="H54" s="912"/>
      <c r="I54" s="912"/>
      <c r="J54" s="912"/>
      <c r="K54" s="912"/>
      <c r="L54" s="913"/>
    </row>
    <row r="55" spans="1:16" ht="12.75" hidden="1" customHeight="1" x14ac:dyDescent="0.25">
      <c r="A55" s="472"/>
      <c r="B55" s="472"/>
      <c r="C55" s="910" t="s">
        <v>595</v>
      </c>
      <c r="D55" s="910"/>
      <c r="E55" s="910"/>
      <c r="F55" s="921" t="s">
        <v>595</v>
      </c>
      <c r="G55" s="921"/>
      <c r="H55" s="921"/>
      <c r="I55" s="921"/>
      <c r="J55" s="921"/>
      <c r="K55" s="921"/>
      <c r="L55" s="921"/>
    </row>
    <row r="56" spans="1:16" ht="12.75" hidden="1" customHeight="1" x14ac:dyDescent="0.25">
      <c r="A56" s="472"/>
      <c r="B56" s="473"/>
      <c r="C56" s="910" t="s">
        <v>595</v>
      </c>
      <c r="D56" s="910"/>
      <c r="E56" s="910"/>
      <c r="F56" s="914" t="s">
        <v>915</v>
      </c>
      <c r="G56" s="914"/>
      <c r="H56" s="914"/>
      <c r="I56" s="914"/>
      <c r="J56" s="914"/>
      <c r="K56" s="914"/>
      <c r="L56" s="914"/>
    </row>
    <row r="57" spans="1:16" ht="141.75" hidden="1" customHeight="1" x14ac:dyDescent="0.25">
      <c r="A57" s="472"/>
      <c r="B57" s="472"/>
      <c r="C57" s="910" t="s">
        <v>595</v>
      </c>
      <c r="D57" s="910"/>
      <c r="E57" s="910"/>
      <c r="F57" s="922" t="s">
        <v>1124</v>
      </c>
      <c r="G57" s="923"/>
      <c r="H57" s="923"/>
      <c r="I57" s="923"/>
      <c r="J57" s="923"/>
      <c r="K57" s="923"/>
      <c r="L57" s="924"/>
      <c r="M57" s="150"/>
      <c r="N57" s="150"/>
      <c r="O57" s="150"/>
      <c r="P57" s="150"/>
    </row>
    <row r="58" spans="1:16" ht="12.75" hidden="1" customHeight="1" x14ac:dyDescent="0.25">
      <c r="A58" s="472"/>
      <c r="B58" s="473"/>
      <c r="C58" s="910" t="s">
        <v>595</v>
      </c>
      <c r="D58" s="910"/>
      <c r="E58" s="910"/>
      <c r="F58" s="914" t="s">
        <v>899</v>
      </c>
      <c r="G58" s="914"/>
      <c r="H58" s="914"/>
      <c r="I58" s="914"/>
      <c r="J58" s="914"/>
      <c r="K58" s="914"/>
      <c r="L58" s="914"/>
      <c r="M58" s="426"/>
      <c r="N58" s="426"/>
    </row>
    <row r="59" spans="1:16" ht="12.75" hidden="1" customHeight="1" x14ac:dyDescent="0.25">
      <c r="A59" s="472"/>
      <c r="B59" s="472"/>
      <c r="C59" s="910" t="s">
        <v>595</v>
      </c>
      <c r="D59" s="910"/>
      <c r="E59" s="910"/>
      <c r="F59" s="915" t="s">
        <v>902</v>
      </c>
      <c r="G59" s="916"/>
      <c r="H59" s="916"/>
      <c r="I59" s="916"/>
      <c r="J59" s="916"/>
      <c r="K59" s="916"/>
      <c r="L59" s="917"/>
      <c r="M59" s="426"/>
      <c r="N59" s="426"/>
    </row>
    <row r="60" spans="1:16" ht="12.75" hidden="1" customHeight="1" x14ac:dyDescent="0.25">
      <c r="A60" s="472"/>
      <c r="B60" s="472"/>
      <c r="C60" s="910" t="s">
        <v>595</v>
      </c>
      <c r="D60" s="910"/>
      <c r="E60" s="910"/>
      <c r="F60" s="918" t="s">
        <v>903</v>
      </c>
      <c r="G60" s="919"/>
      <c r="H60" s="919"/>
      <c r="I60" s="919"/>
      <c r="J60" s="919"/>
      <c r="K60" s="919"/>
      <c r="L60" s="920"/>
      <c r="M60" s="426"/>
      <c r="N60" s="426"/>
    </row>
    <row r="61" spans="1:16" ht="12.75" hidden="1" customHeight="1" x14ac:dyDescent="0.25">
      <c r="A61" s="472"/>
      <c r="B61" s="472"/>
      <c r="C61" s="910" t="s">
        <v>595</v>
      </c>
      <c r="D61" s="910"/>
      <c r="E61" s="910"/>
      <c r="F61" s="911" t="s">
        <v>904</v>
      </c>
      <c r="G61" s="912"/>
      <c r="H61" s="912"/>
      <c r="I61" s="912"/>
      <c r="J61" s="912"/>
      <c r="K61" s="912"/>
      <c r="L61" s="913"/>
      <c r="M61" s="426"/>
      <c r="N61" s="426"/>
    </row>
    <row r="62" spans="1:16" ht="12.75" hidden="1" customHeight="1" x14ac:dyDescent="0.25">
      <c r="A62" s="472"/>
      <c r="B62" s="472"/>
      <c r="C62" s="941" t="s">
        <v>220</v>
      </c>
      <c r="D62" s="941"/>
      <c r="E62" s="941"/>
      <c r="F62" s="934" t="s">
        <v>220</v>
      </c>
      <c r="G62" s="934"/>
      <c r="H62" s="934"/>
      <c r="I62" s="934"/>
      <c r="J62" s="934"/>
      <c r="K62" s="934"/>
      <c r="L62" s="934"/>
      <c r="M62" s="426"/>
      <c r="N62" s="426"/>
    </row>
    <row r="63" spans="1:16" ht="12.75" hidden="1" customHeight="1" x14ac:dyDescent="0.25">
      <c r="A63" s="472"/>
      <c r="B63" s="473"/>
      <c r="C63" s="941" t="s">
        <v>220</v>
      </c>
      <c r="D63" s="941"/>
      <c r="E63" s="941"/>
      <c r="F63" s="914" t="s">
        <v>915</v>
      </c>
      <c r="G63" s="914"/>
      <c r="H63" s="914"/>
      <c r="I63" s="914"/>
      <c r="J63" s="914"/>
      <c r="K63" s="914"/>
      <c r="L63" s="914"/>
      <c r="M63" s="426"/>
      <c r="N63" s="426"/>
    </row>
    <row r="64" spans="1:16" ht="131.25" hidden="1" customHeight="1" x14ac:dyDescent="0.25">
      <c r="A64" s="472"/>
      <c r="B64" s="472"/>
      <c r="C64" s="941" t="s">
        <v>220</v>
      </c>
      <c r="D64" s="941"/>
      <c r="E64" s="941"/>
      <c r="F64" s="922" t="s">
        <v>1045</v>
      </c>
      <c r="G64" s="923"/>
      <c r="H64" s="923"/>
      <c r="I64" s="923"/>
      <c r="J64" s="923"/>
      <c r="K64" s="923"/>
      <c r="L64" s="924"/>
      <c r="M64" s="426"/>
      <c r="N64" s="426"/>
    </row>
    <row r="65" spans="1:14" ht="12.75" hidden="1" customHeight="1" x14ac:dyDescent="0.25">
      <c r="A65" s="472"/>
      <c r="B65" s="472"/>
      <c r="C65" s="941" t="s">
        <v>220</v>
      </c>
      <c r="D65" s="941"/>
      <c r="E65" s="941"/>
      <c r="F65" s="914" t="s">
        <v>899</v>
      </c>
      <c r="G65" s="914"/>
      <c r="H65" s="914"/>
      <c r="I65" s="914"/>
      <c r="J65" s="914"/>
      <c r="K65" s="914"/>
      <c r="L65" s="914"/>
      <c r="M65" s="426"/>
      <c r="N65" s="426"/>
    </row>
    <row r="66" spans="1:14" ht="12.75" hidden="1" customHeight="1" x14ac:dyDescent="0.25">
      <c r="A66" s="472"/>
      <c r="B66" s="472"/>
      <c r="C66" s="941" t="s">
        <v>220</v>
      </c>
      <c r="D66" s="941"/>
      <c r="E66" s="941"/>
      <c r="F66" s="935" t="s">
        <v>1006</v>
      </c>
      <c r="G66" s="936"/>
      <c r="H66" s="936"/>
      <c r="I66" s="936"/>
      <c r="J66" s="936"/>
      <c r="K66" s="936"/>
      <c r="L66" s="937"/>
      <c r="M66" s="426"/>
      <c r="N66" s="426"/>
    </row>
    <row r="67" spans="1:14" ht="12.75" hidden="1" customHeight="1" x14ac:dyDescent="0.25">
      <c r="A67" s="472"/>
      <c r="B67" s="472"/>
      <c r="C67" s="941" t="s">
        <v>220</v>
      </c>
      <c r="D67" s="941"/>
      <c r="E67" s="941"/>
      <c r="F67" s="945" t="s">
        <v>905</v>
      </c>
      <c r="G67" s="946"/>
      <c r="H67" s="946"/>
      <c r="I67" s="946"/>
      <c r="J67" s="946"/>
      <c r="K67" s="946"/>
      <c r="L67" s="947"/>
      <c r="M67" s="426"/>
      <c r="N67" s="426"/>
    </row>
    <row r="68" spans="1:14" ht="12.75" hidden="1" customHeight="1" x14ac:dyDescent="0.25">
      <c r="A68" s="472"/>
      <c r="B68" s="472"/>
      <c r="C68" s="941" t="s">
        <v>933</v>
      </c>
      <c r="D68" s="941"/>
      <c r="E68" s="941"/>
      <c r="F68" s="948" t="s">
        <v>933</v>
      </c>
      <c r="G68" s="948"/>
      <c r="H68" s="948"/>
      <c r="I68" s="948"/>
      <c r="J68" s="948"/>
      <c r="K68" s="948"/>
      <c r="L68" s="948"/>
      <c r="M68" s="426"/>
      <c r="N68" s="426"/>
    </row>
    <row r="69" spans="1:14" ht="12.75" hidden="1" customHeight="1" x14ac:dyDescent="0.25">
      <c r="A69" s="472"/>
      <c r="B69" s="473"/>
      <c r="C69" s="941" t="s">
        <v>933</v>
      </c>
      <c r="D69" s="941"/>
      <c r="E69" s="941"/>
      <c r="F69" s="914" t="s">
        <v>915</v>
      </c>
      <c r="G69" s="914"/>
      <c r="H69" s="914"/>
      <c r="I69" s="914"/>
      <c r="J69" s="914"/>
      <c r="K69" s="914"/>
      <c r="L69" s="914"/>
      <c r="M69" s="426"/>
      <c r="N69" s="426"/>
    </row>
    <row r="70" spans="1:14" ht="91.5" hidden="1" customHeight="1" x14ac:dyDescent="0.25">
      <c r="A70" s="472"/>
      <c r="B70" s="472"/>
      <c r="C70" s="941" t="s">
        <v>933</v>
      </c>
      <c r="D70" s="941"/>
      <c r="E70" s="941"/>
      <c r="F70" s="922" t="s">
        <v>1046</v>
      </c>
      <c r="G70" s="923"/>
      <c r="H70" s="923"/>
      <c r="I70" s="923"/>
      <c r="J70" s="923"/>
      <c r="K70" s="923"/>
      <c r="L70" s="924"/>
      <c r="M70" s="426"/>
      <c r="N70" s="426"/>
    </row>
    <row r="71" spans="1:14" ht="12.75" hidden="1" customHeight="1" x14ac:dyDescent="0.25">
      <c r="A71" s="472"/>
      <c r="B71" s="472"/>
      <c r="C71" s="941" t="s">
        <v>933</v>
      </c>
      <c r="D71" s="941"/>
      <c r="E71" s="941"/>
      <c r="F71" s="914" t="s">
        <v>899</v>
      </c>
      <c r="G71" s="914"/>
      <c r="H71" s="914"/>
      <c r="I71" s="914"/>
      <c r="J71" s="914"/>
      <c r="K71" s="914"/>
      <c r="L71" s="914"/>
      <c r="M71" s="426"/>
      <c r="N71" s="426"/>
    </row>
    <row r="72" spans="1:14" ht="12.75" hidden="1" customHeight="1" x14ac:dyDescent="0.25">
      <c r="A72" s="472"/>
      <c r="B72" s="472"/>
      <c r="C72" s="941" t="s">
        <v>933</v>
      </c>
      <c r="D72" s="941"/>
      <c r="E72" s="941"/>
      <c r="F72" s="935" t="s">
        <v>1006</v>
      </c>
      <c r="G72" s="936"/>
      <c r="H72" s="936"/>
      <c r="I72" s="936"/>
      <c r="J72" s="936"/>
      <c r="K72" s="936"/>
      <c r="L72" s="937"/>
      <c r="M72" s="426"/>
      <c r="N72" s="426"/>
    </row>
    <row r="73" spans="1:14" ht="12.75" hidden="1" customHeight="1" x14ac:dyDescent="0.25">
      <c r="A73" s="472"/>
      <c r="B73" s="472"/>
      <c r="C73" s="941" t="s">
        <v>933</v>
      </c>
      <c r="D73" s="941"/>
      <c r="E73" s="941"/>
      <c r="F73" s="945" t="s">
        <v>905</v>
      </c>
      <c r="G73" s="946"/>
      <c r="H73" s="946"/>
      <c r="I73" s="946"/>
      <c r="J73" s="946"/>
      <c r="K73" s="946"/>
      <c r="L73" s="947"/>
      <c r="M73" s="426"/>
      <c r="N73" s="426"/>
    </row>
    <row r="74" spans="1:14" ht="12.75" hidden="1" customHeight="1" x14ac:dyDescent="0.25">
      <c r="A74" s="472"/>
      <c r="B74" s="472"/>
      <c r="C74" s="941" t="s">
        <v>224</v>
      </c>
      <c r="D74" s="941"/>
      <c r="E74" s="941"/>
      <c r="F74" s="934" t="s">
        <v>224</v>
      </c>
      <c r="G74" s="934"/>
      <c r="H74" s="934"/>
      <c r="I74" s="934"/>
      <c r="J74" s="934"/>
      <c r="K74" s="934"/>
      <c r="L74" s="934"/>
      <c r="M74" s="426"/>
      <c r="N74" s="426"/>
    </row>
    <row r="75" spans="1:14" ht="12.75" hidden="1" customHeight="1" x14ac:dyDescent="0.25">
      <c r="A75" s="472"/>
      <c r="B75" s="473"/>
      <c r="C75" s="941" t="s">
        <v>224</v>
      </c>
      <c r="D75" s="941"/>
      <c r="E75" s="941"/>
      <c r="F75" s="914" t="s">
        <v>915</v>
      </c>
      <c r="G75" s="914"/>
      <c r="H75" s="914"/>
      <c r="I75" s="914"/>
      <c r="J75" s="914"/>
      <c r="K75" s="914"/>
      <c r="L75" s="914"/>
      <c r="M75" s="426"/>
      <c r="N75" s="426"/>
    </row>
    <row r="76" spans="1:14" ht="104.25" hidden="1" customHeight="1" x14ac:dyDescent="0.25">
      <c r="A76" s="472"/>
      <c r="B76" s="472"/>
      <c r="C76" s="941" t="s">
        <v>224</v>
      </c>
      <c r="D76" s="941"/>
      <c r="E76" s="941"/>
      <c r="F76" s="922" t="s">
        <v>1230</v>
      </c>
      <c r="G76" s="923"/>
      <c r="H76" s="923"/>
      <c r="I76" s="923"/>
      <c r="J76" s="923"/>
      <c r="K76" s="923"/>
      <c r="L76" s="924"/>
      <c r="M76" s="426"/>
      <c r="N76" s="426"/>
    </row>
    <row r="77" spans="1:14" ht="12.75" hidden="1" customHeight="1" x14ac:dyDescent="0.25">
      <c r="A77" s="472"/>
      <c r="B77" s="472"/>
      <c r="C77" s="941" t="s">
        <v>224</v>
      </c>
      <c r="D77" s="941"/>
      <c r="E77" s="941"/>
      <c r="F77" s="914" t="s">
        <v>899</v>
      </c>
      <c r="G77" s="914"/>
      <c r="H77" s="914"/>
      <c r="I77" s="914"/>
      <c r="J77" s="914"/>
      <c r="K77" s="914"/>
      <c r="L77" s="914"/>
    </row>
    <row r="78" spans="1:14" ht="12.75" hidden="1" customHeight="1" x14ac:dyDescent="0.25">
      <c r="A78" s="472"/>
      <c r="B78" s="472"/>
      <c r="C78" s="941" t="s">
        <v>224</v>
      </c>
      <c r="D78" s="941"/>
      <c r="E78" s="941"/>
      <c r="F78" s="938" t="s">
        <v>952</v>
      </c>
      <c r="G78" s="939"/>
      <c r="H78" s="939"/>
      <c r="I78" s="939"/>
      <c r="J78" s="939"/>
      <c r="K78" s="939"/>
      <c r="L78" s="940"/>
    </row>
    <row r="79" spans="1:14" ht="12.75" hidden="1" customHeight="1" x14ac:dyDescent="0.25">
      <c r="A79" s="472"/>
      <c r="B79" s="472"/>
      <c r="C79" s="941" t="s">
        <v>224</v>
      </c>
      <c r="D79" s="941"/>
      <c r="E79" s="941"/>
      <c r="F79" s="942" t="s">
        <v>905</v>
      </c>
      <c r="G79" s="943"/>
      <c r="H79" s="943"/>
      <c r="I79" s="943"/>
      <c r="J79" s="943"/>
      <c r="K79" s="943"/>
      <c r="L79" s="944"/>
    </row>
    <row r="80" spans="1:14" ht="12.75" hidden="1" customHeight="1" x14ac:dyDescent="0.25">
      <c r="A80" s="472"/>
      <c r="B80" s="472"/>
      <c r="C80" s="941" t="s">
        <v>472</v>
      </c>
      <c r="D80" s="941"/>
      <c r="E80" s="941"/>
      <c r="F80" s="934" t="s">
        <v>472</v>
      </c>
      <c r="G80" s="934"/>
      <c r="H80" s="934"/>
      <c r="I80" s="934"/>
      <c r="J80" s="934"/>
      <c r="K80" s="934"/>
      <c r="L80" s="934"/>
    </row>
    <row r="81" spans="1:12" ht="12.75" hidden="1" customHeight="1" x14ac:dyDescent="0.25">
      <c r="A81" s="472"/>
      <c r="B81" s="473"/>
      <c r="C81" s="941" t="s">
        <v>472</v>
      </c>
      <c r="D81" s="941"/>
      <c r="E81" s="941"/>
      <c r="F81" s="914" t="s">
        <v>915</v>
      </c>
      <c r="G81" s="914"/>
      <c r="H81" s="914"/>
      <c r="I81" s="914"/>
      <c r="J81" s="914"/>
      <c r="K81" s="914"/>
      <c r="L81" s="914"/>
    </row>
    <row r="82" spans="1:12" ht="105" hidden="1" customHeight="1" x14ac:dyDescent="0.25">
      <c r="A82" s="472"/>
      <c r="B82" s="472"/>
      <c r="C82" s="941" t="s">
        <v>472</v>
      </c>
      <c r="D82" s="941"/>
      <c r="E82" s="941"/>
      <c r="F82" s="922" t="s">
        <v>1047</v>
      </c>
      <c r="G82" s="923"/>
      <c r="H82" s="923"/>
      <c r="I82" s="923"/>
      <c r="J82" s="923"/>
      <c r="K82" s="923"/>
      <c r="L82" s="924"/>
    </row>
    <row r="83" spans="1:12" ht="12.75" hidden="1" customHeight="1" x14ac:dyDescent="0.25">
      <c r="A83" s="472"/>
      <c r="B83" s="472"/>
      <c r="C83" s="941" t="s">
        <v>472</v>
      </c>
      <c r="D83" s="941"/>
      <c r="E83" s="941"/>
      <c r="F83" s="914" t="s">
        <v>899</v>
      </c>
      <c r="G83" s="914"/>
      <c r="H83" s="914"/>
      <c r="I83" s="914"/>
      <c r="J83" s="914"/>
      <c r="K83" s="914"/>
      <c r="L83" s="914"/>
    </row>
    <row r="84" spans="1:12" ht="12.75" hidden="1" customHeight="1" x14ac:dyDescent="0.25">
      <c r="A84" s="472"/>
      <c r="B84" s="472"/>
      <c r="C84" s="941" t="s">
        <v>472</v>
      </c>
      <c r="D84" s="941"/>
      <c r="E84" s="941"/>
      <c r="F84" s="915" t="s">
        <v>472</v>
      </c>
      <c r="G84" s="916"/>
      <c r="H84" s="916"/>
      <c r="I84" s="916"/>
      <c r="J84" s="916"/>
      <c r="K84" s="916"/>
      <c r="L84" s="917"/>
    </row>
    <row r="85" spans="1:12" ht="12.75" hidden="1" customHeight="1" x14ac:dyDescent="0.25">
      <c r="A85" s="472"/>
      <c r="B85" s="472"/>
      <c r="C85" s="941" t="s">
        <v>472</v>
      </c>
      <c r="D85" s="941"/>
      <c r="E85" s="941"/>
      <c r="F85" s="918" t="s">
        <v>906</v>
      </c>
      <c r="G85" s="919"/>
      <c r="H85" s="919"/>
      <c r="I85" s="919"/>
      <c r="J85" s="919"/>
      <c r="K85" s="919"/>
      <c r="L85" s="920"/>
    </row>
    <row r="86" spans="1:12" ht="12.75" hidden="1" customHeight="1" x14ac:dyDescent="0.25">
      <c r="A86" s="472"/>
      <c r="B86" s="472"/>
      <c r="C86" s="941" t="s">
        <v>472</v>
      </c>
      <c r="D86" s="941"/>
      <c r="E86" s="941"/>
      <c r="F86" s="911" t="s">
        <v>907</v>
      </c>
      <c r="G86" s="912"/>
      <c r="H86" s="912"/>
      <c r="I86" s="912"/>
      <c r="J86" s="912"/>
      <c r="K86" s="912"/>
      <c r="L86" s="913"/>
    </row>
    <row r="87" spans="1:12" ht="12" hidden="1" customHeight="1" x14ac:dyDescent="0.25">
      <c r="A87" s="472"/>
      <c r="B87" s="472"/>
      <c r="C87" s="910" t="s">
        <v>724</v>
      </c>
      <c r="D87" s="910"/>
      <c r="E87" s="910"/>
      <c r="F87" s="921" t="s">
        <v>724</v>
      </c>
      <c r="G87" s="921"/>
      <c r="H87" s="921"/>
      <c r="I87" s="921"/>
      <c r="J87" s="921"/>
      <c r="K87" s="921"/>
      <c r="L87" s="921"/>
    </row>
    <row r="88" spans="1:12" ht="12" hidden="1" customHeight="1" x14ac:dyDescent="0.25">
      <c r="A88" s="472"/>
      <c r="B88" s="473"/>
      <c r="C88" s="910" t="s">
        <v>724</v>
      </c>
      <c r="D88" s="910"/>
      <c r="E88" s="910"/>
      <c r="F88" s="914" t="s">
        <v>915</v>
      </c>
      <c r="G88" s="914"/>
      <c r="H88" s="914"/>
      <c r="I88" s="914"/>
      <c r="J88" s="914"/>
      <c r="K88" s="914"/>
      <c r="L88" s="914"/>
    </row>
    <row r="89" spans="1:12" ht="141.75" hidden="1" customHeight="1" x14ac:dyDescent="0.25">
      <c r="A89" s="472"/>
      <c r="B89" s="472"/>
      <c r="C89" s="910" t="s">
        <v>724</v>
      </c>
      <c r="D89" s="910"/>
      <c r="E89" s="910"/>
      <c r="F89" s="922" t="s">
        <v>1185</v>
      </c>
      <c r="G89" s="923"/>
      <c r="H89" s="923"/>
      <c r="I89" s="923"/>
      <c r="J89" s="923"/>
      <c r="K89" s="923"/>
      <c r="L89" s="924"/>
    </row>
    <row r="90" spans="1:12" ht="12.75" hidden="1" customHeight="1" x14ac:dyDescent="0.25">
      <c r="A90" s="472"/>
      <c r="B90" s="472"/>
      <c r="C90" s="910" t="s">
        <v>724</v>
      </c>
      <c r="D90" s="910"/>
      <c r="E90" s="910"/>
      <c r="F90" s="914" t="s">
        <v>899</v>
      </c>
      <c r="G90" s="914"/>
      <c r="H90" s="914"/>
      <c r="I90" s="914"/>
      <c r="J90" s="914"/>
      <c r="K90" s="914"/>
      <c r="L90" s="914"/>
    </row>
    <row r="91" spans="1:12" ht="12.75" hidden="1" customHeight="1" x14ac:dyDescent="0.25">
      <c r="A91" s="472"/>
      <c r="B91" s="472"/>
      <c r="C91" s="910" t="s">
        <v>724</v>
      </c>
      <c r="D91" s="910"/>
      <c r="E91" s="910"/>
      <c r="F91" s="915" t="s">
        <v>724</v>
      </c>
      <c r="G91" s="916"/>
      <c r="H91" s="916"/>
      <c r="I91" s="916"/>
      <c r="J91" s="916"/>
      <c r="K91" s="916"/>
      <c r="L91" s="917"/>
    </row>
    <row r="92" spans="1:12" ht="12.75" hidden="1" customHeight="1" x14ac:dyDescent="0.25">
      <c r="A92" s="472"/>
      <c r="B92" s="472"/>
      <c r="C92" s="910" t="s">
        <v>724</v>
      </c>
      <c r="D92" s="910"/>
      <c r="E92" s="910"/>
      <c r="F92" s="918" t="s">
        <v>908</v>
      </c>
      <c r="G92" s="919"/>
      <c r="H92" s="919"/>
      <c r="I92" s="919"/>
      <c r="J92" s="919"/>
      <c r="K92" s="919"/>
      <c r="L92" s="920"/>
    </row>
    <row r="93" spans="1:12" ht="12.75" hidden="1" customHeight="1" x14ac:dyDescent="0.25">
      <c r="A93" s="472"/>
      <c r="B93" s="472"/>
      <c r="C93" s="910" t="s">
        <v>724</v>
      </c>
      <c r="D93" s="910"/>
      <c r="E93" s="910"/>
      <c r="F93" s="911" t="s">
        <v>909</v>
      </c>
      <c r="G93" s="912"/>
      <c r="H93" s="912"/>
      <c r="I93" s="912"/>
      <c r="J93" s="912"/>
      <c r="K93" s="912"/>
      <c r="L93" s="913"/>
    </row>
    <row r="94" spans="1:12" ht="12.75" customHeight="1" x14ac:dyDescent="0.25">
      <c r="A94" s="472"/>
      <c r="B94" s="472"/>
      <c r="C94" s="910" t="s">
        <v>225</v>
      </c>
      <c r="D94" s="910"/>
      <c r="E94" s="910"/>
      <c r="F94" s="921" t="s">
        <v>225</v>
      </c>
      <c r="G94" s="921"/>
      <c r="H94" s="921"/>
      <c r="I94" s="921"/>
      <c r="J94" s="921"/>
      <c r="K94" s="921"/>
      <c r="L94" s="921"/>
    </row>
    <row r="95" spans="1:12" ht="12.75" customHeight="1" x14ac:dyDescent="0.25">
      <c r="A95" s="472"/>
      <c r="B95" s="473"/>
      <c r="C95" s="910" t="s">
        <v>225</v>
      </c>
      <c r="D95" s="910"/>
      <c r="E95" s="910"/>
      <c r="F95" s="914" t="s">
        <v>915</v>
      </c>
      <c r="G95" s="914"/>
      <c r="H95" s="914"/>
      <c r="I95" s="914"/>
      <c r="J95" s="914"/>
      <c r="K95" s="914"/>
      <c r="L95" s="914"/>
    </row>
    <row r="96" spans="1:12" ht="93" customHeight="1" x14ac:dyDescent="0.25">
      <c r="A96" s="472"/>
      <c r="B96" s="472"/>
      <c r="C96" s="910" t="s">
        <v>225</v>
      </c>
      <c r="D96" s="910"/>
      <c r="E96" s="910"/>
      <c r="F96" s="922" t="s">
        <v>1049</v>
      </c>
      <c r="G96" s="923"/>
      <c r="H96" s="923"/>
      <c r="I96" s="923"/>
      <c r="J96" s="923"/>
      <c r="K96" s="923"/>
      <c r="L96" s="924"/>
    </row>
    <row r="97" spans="1:12" ht="12.75" customHeight="1" x14ac:dyDescent="0.25">
      <c r="A97" s="472"/>
      <c r="B97" s="472"/>
      <c r="C97" s="910" t="s">
        <v>225</v>
      </c>
      <c r="D97" s="910"/>
      <c r="E97" s="910"/>
      <c r="F97" s="914" t="s">
        <v>899</v>
      </c>
      <c r="G97" s="914"/>
      <c r="H97" s="914"/>
      <c r="I97" s="914"/>
      <c r="J97" s="914"/>
      <c r="K97" s="914"/>
      <c r="L97" s="914"/>
    </row>
    <row r="98" spans="1:12" ht="12.75" customHeight="1" x14ac:dyDescent="0.25">
      <c r="A98" s="472"/>
      <c r="B98" s="472"/>
      <c r="C98" s="910" t="s">
        <v>225</v>
      </c>
      <c r="D98" s="910"/>
      <c r="E98" s="910"/>
      <c r="F98" s="915" t="s">
        <v>910</v>
      </c>
      <c r="G98" s="916"/>
      <c r="H98" s="916"/>
      <c r="I98" s="916"/>
      <c r="J98" s="916"/>
      <c r="K98" s="916"/>
      <c r="L98" s="917"/>
    </row>
    <row r="99" spans="1:12" ht="12.75" customHeight="1" x14ac:dyDescent="0.25">
      <c r="A99" s="472"/>
      <c r="B99" s="472"/>
      <c r="C99" s="910" t="s">
        <v>225</v>
      </c>
      <c r="D99" s="910"/>
      <c r="E99" s="910"/>
      <c r="F99" s="918" t="s">
        <v>1123</v>
      </c>
      <c r="G99" s="919"/>
      <c r="H99" s="919"/>
      <c r="I99" s="919"/>
      <c r="J99" s="919"/>
      <c r="K99" s="919"/>
      <c r="L99" s="920"/>
    </row>
    <row r="100" spans="1:12" ht="12.75" customHeight="1" x14ac:dyDescent="0.25">
      <c r="A100" s="472"/>
      <c r="B100" s="472"/>
      <c r="C100" s="910" t="s">
        <v>225</v>
      </c>
      <c r="D100" s="910"/>
      <c r="E100" s="910"/>
      <c r="F100" s="911" t="s">
        <v>911</v>
      </c>
      <c r="G100" s="912"/>
      <c r="H100" s="912"/>
      <c r="I100" s="912"/>
      <c r="J100" s="912"/>
      <c r="K100" s="912"/>
      <c r="L100" s="913"/>
    </row>
    <row r="101" spans="1:12" ht="13.2" hidden="1" x14ac:dyDescent="0.25">
      <c r="A101" s="472"/>
      <c r="B101" s="472"/>
      <c r="C101" s="910" t="s">
        <v>473</v>
      </c>
      <c r="D101" s="910"/>
      <c r="E101" s="910"/>
      <c r="F101" s="921" t="s">
        <v>473</v>
      </c>
      <c r="G101" s="921"/>
      <c r="H101" s="921"/>
      <c r="I101" s="921"/>
      <c r="J101" s="921"/>
      <c r="K101" s="921"/>
      <c r="L101" s="921"/>
    </row>
    <row r="102" spans="1:12" hidden="1" x14ac:dyDescent="0.25">
      <c r="A102" s="472"/>
      <c r="B102" s="473"/>
      <c r="C102" s="910" t="s">
        <v>473</v>
      </c>
      <c r="D102" s="910"/>
      <c r="E102" s="910"/>
      <c r="F102" s="914" t="s">
        <v>915</v>
      </c>
      <c r="G102" s="914"/>
      <c r="H102" s="914"/>
      <c r="I102" s="914"/>
      <c r="J102" s="914"/>
      <c r="K102" s="914"/>
      <c r="L102" s="914"/>
    </row>
    <row r="103" spans="1:12" s="604" customFormat="1" ht="174.75" hidden="1" customHeight="1" x14ac:dyDescent="0.25">
      <c r="A103" s="472"/>
      <c r="B103" s="603"/>
      <c r="C103" s="951" t="s">
        <v>473</v>
      </c>
      <c r="D103" s="951"/>
      <c r="E103" s="951"/>
      <c r="F103" s="922" t="s">
        <v>1184</v>
      </c>
      <c r="G103" s="923"/>
      <c r="H103" s="923"/>
      <c r="I103" s="923"/>
      <c r="J103" s="923"/>
      <c r="K103" s="923"/>
      <c r="L103" s="924"/>
    </row>
    <row r="104" spans="1:12" ht="12.75" hidden="1" customHeight="1" x14ac:dyDescent="0.25">
      <c r="A104" s="472"/>
      <c r="B104" s="472"/>
      <c r="C104" s="910" t="s">
        <v>473</v>
      </c>
      <c r="D104" s="910"/>
      <c r="E104" s="910"/>
      <c r="F104" s="950" t="s">
        <v>899</v>
      </c>
      <c r="G104" s="950"/>
      <c r="H104" s="950"/>
      <c r="I104" s="950"/>
      <c r="J104" s="950"/>
      <c r="K104" s="950"/>
      <c r="L104" s="950"/>
    </row>
    <row r="105" spans="1:12" ht="12.75" hidden="1" customHeight="1" x14ac:dyDescent="0.25">
      <c r="A105" s="472"/>
      <c r="B105" s="472"/>
      <c r="C105" s="910" t="s">
        <v>473</v>
      </c>
      <c r="D105" s="910"/>
      <c r="E105" s="910"/>
      <c r="F105" s="915" t="s">
        <v>473</v>
      </c>
      <c r="G105" s="916"/>
      <c r="H105" s="916"/>
      <c r="I105" s="916"/>
      <c r="J105" s="916"/>
      <c r="K105" s="916"/>
      <c r="L105" s="917"/>
    </row>
    <row r="106" spans="1:12" ht="12.75" hidden="1" customHeight="1" x14ac:dyDescent="0.25">
      <c r="A106" s="472"/>
      <c r="B106" s="472"/>
      <c r="C106" s="910" t="s">
        <v>473</v>
      </c>
      <c r="D106" s="910"/>
      <c r="E106" s="910"/>
      <c r="F106" s="918" t="s">
        <v>912</v>
      </c>
      <c r="G106" s="949"/>
      <c r="H106" s="949"/>
      <c r="I106" s="949"/>
      <c r="J106" s="949"/>
      <c r="K106" s="949"/>
      <c r="L106" s="920"/>
    </row>
    <row r="107" spans="1:12" ht="12.75" hidden="1" customHeight="1" x14ac:dyDescent="0.25">
      <c r="A107" s="472"/>
      <c r="B107" s="472"/>
      <c r="C107" s="910" t="s">
        <v>473</v>
      </c>
      <c r="D107" s="910"/>
      <c r="E107" s="910"/>
      <c r="F107" s="911" t="s">
        <v>913</v>
      </c>
      <c r="G107" s="912"/>
      <c r="H107" s="912"/>
      <c r="I107" s="912"/>
      <c r="J107" s="912"/>
      <c r="K107" s="912"/>
      <c r="L107" s="913"/>
    </row>
    <row r="108" spans="1:12" ht="12.75" hidden="1" customHeight="1" x14ac:dyDescent="0.25">
      <c r="B108" s="472"/>
      <c r="C108" s="910" t="s">
        <v>948</v>
      </c>
      <c r="D108" s="910"/>
      <c r="E108" s="910"/>
      <c r="F108" s="921" t="s">
        <v>948</v>
      </c>
      <c r="G108" s="921"/>
      <c r="H108" s="921"/>
      <c r="I108" s="921"/>
      <c r="J108" s="921"/>
      <c r="K108" s="921"/>
      <c r="L108" s="921"/>
    </row>
    <row r="109" spans="1:12" ht="12.75" hidden="1" customHeight="1" x14ac:dyDescent="0.25">
      <c r="B109" s="473"/>
      <c r="C109" s="910" t="s">
        <v>948</v>
      </c>
      <c r="D109" s="910"/>
      <c r="E109" s="910"/>
      <c r="F109" s="914" t="s">
        <v>915</v>
      </c>
      <c r="G109" s="914"/>
      <c r="H109" s="914"/>
      <c r="I109" s="914"/>
      <c r="J109" s="914"/>
      <c r="K109" s="914"/>
      <c r="L109" s="914"/>
    </row>
    <row r="110" spans="1:12" ht="130.5" hidden="1" customHeight="1" x14ac:dyDescent="0.25">
      <c r="B110" s="472"/>
      <c r="C110" s="910" t="s">
        <v>948</v>
      </c>
      <c r="D110" s="910"/>
      <c r="E110" s="910"/>
      <c r="F110" s="922" t="s">
        <v>1401</v>
      </c>
      <c r="G110" s="923"/>
      <c r="H110" s="923"/>
      <c r="I110" s="923"/>
      <c r="J110" s="923"/>
      <c r="K110" s="923"/>
      <c r="L110" s="924"/>
    </row>
    <row r="111" spans="1:12" ht="12.75" hidden="1" customHeight="1" x14ac:dyDescent="0.25">
      <c r="B111" s="472"/>
      <c r="C111" s="910" t="s">
        <v>948</v>
      </c>
      <c r="D111" s="910"/>
      <c r="E111" s="910"/>
      <c r="F111" s="914" t="s">
        <v>899</v>
      </c>
      <c r="G111" s="914"/>
      <c r="H111" s="914"/>
      <c r="I111" s="914"/>
      <c r="J111" s="914"/>
      <c r="K111" s="914"/>
      <c r="L111" s="914"/>
    </row>
    <row r="112" spans="1:12" ht="12.75" hidden="1" customHeight="1" x14ac:dyDescent="0.25">
      <c r="B112" s="472"/>
      <c r="C112" s="910" t="s">
        <v>948</v>
      </c>
      <c r="D112" s="910"/>
      <c r="E112" s="910"/>
      <c r="F112" s="915" t="s">
        <v>949</v>
      </c>
      <c r="G112" s="916"/>
      <c r="H112" s="916"/>
      <c r="I112" s="916"/>
      <c r="J112" s="916"/>
      <c r="K112" s="916"/>
      <c r="L112" s="917"/>
    </row>
    <row r="113" spans="2:12" ht="12.75" hidden="1" customHeight="1" x14ac:dyDescent="0.25">
      <c r="B113" s="472"/>
      <c r="C113" s="910" t="s">
        <v>948</v>
      </c>
      <c r="D113" s="910"/>
      <c r="E113" s="910"/>
      <c r="F113" s="918" t="s">
        <v>950</v>
      </c>
      <c r="G113" s="919"/>
      <c r="H113" s="919"/>
      <c r="I113" s="919"/>
      <c r="J113" s="919"/>
      <c r="K113" s="919"/>
      <c r="L113" s="920"/>
    </row>
    <row r="114" spans="2:12" ht="12.75" hidden="1" customHeight="1" x14ac:dyDescent="0.25">
      <c r="B114" s="472"/>
      <c r="C114" s="910" t="s">
        <v>948</v>
      </c>
      <c r="D114" s="910"/>
      <c r="E114" s="910"/>
      <c r="F114" s="911" t="s">
        <v>951</v>
      </c>
      <c r="G114" s="912"/>
      <c r="H114" s="912"/>
      <c r="I114" s="912"/>
      <c r="J114" s="912"/>
      <c r="K114" s="912"/>
      <c r="L114" s="913"/>
    </row>
  </sheetData>
  <sheetProtection algorithmName="SHA-512" hashValue="Rhk5aAzdpAbEuBPckhU0ZfRu9/wlPcUGCWpodK0yeextzstC15C2snzp2dmPf3S/M1wcWvTI86qbsZbGb5GiZQ==" saltValue="dpD6AbnGZkisSRX3fAh3Gw==" spinCount="100000" sheet="1" objects="1" scenarios="1" autoFilter="0"/>
  <autoFilter ref="C47:L114" xr:uid="{00000000-0009-0000-0000-000008000000}">
    <filterColumn colId="0" showButton="0">
      <filters>
        <filter val="NC Railroad Company"/>
      </filters>
    </filterColumn>
    <filterColumn colId="1" showButton="0"/>
    <filterColumn colId="3" showButton="0"/>
    <filterColumn colId="4" showButton="0"/>
    <filterColumn colId="5" showButton="0"/>
    <filterColumn colId="6" showButton="0"/>
    <filterColumn colId="7" showButton="0"/>
    <filterColumn colId="8" showButton="0"/>
  </autoFilter>
  <mergeCells count="159">
    <mergeCell ref="H5:J5"/>
    <mergeCell ref="H6:J6"/>
    <mergeCell ref="B1:L1"/>
    <mergeCell ref="B2:L2"/>
    <mergeCell ref="B3:L3"/>
    <mergeCell ref="B7:D7"/>
    <mergeCell ref="H7:J7"/>
    <mergeCell ref="H8:J8"/>
    <mergeCell ref="C11:L11"/>
    <mergeCell ref="C12:L12"/>
    <mergeCell ref="C18:L18"/>
    <mergeCell ref="C47:E47"/>
    <mergeCell ref="F47:L47"/>
    <mergeCell ref="C49:E49"/>
    <mergeCell ref="C73:E73"/>
    <mergeCell ref="C50:E50"/>
    <mergeCell ref="C48:E48"/>
    <mergeCell ref="F48:L48"/>
    <mergeCell ref="F49:L49"/>
    <mergeCell ref="F50:L50"/>
    <mergeCell ref="F51:L51"/>
    <mergeCell ref="C61:E61"/>
    <mergeCell ref="F61:L61"/>
    <mergeCell ref="C63:E63"/>
    <mergeCell ref="C62:E62"/>
    <mergeCell ref="C52:E52"/>
    <mergeCell ref="C53:E53"/>
    <mergeCell ref="C54:E54"/>
    <mergeCell ref="C56:E56"/>
    <mergeCell ref="F52:L52"/>
    <mergeCell ref="F53:L53"/>
    <mergeCell ref="C51:E51"/>
    <mergeCell ref="F55:L55"/>
    <mergeCell ref="C57:E57"/>
    <mergeCell ref="C55:E55"/>
    <mergeCell ref="C66:E66"/>
    <mergeCell ref="C67:E67"/>
    <mergeCell ref="C69:E69"/>
    <mergeCell ref="C68:E68"/>
    <mergeCell ref="C75:E75"/>
    <mergeCell ref="C70:E70"/>
    <mergeCell ref="C71:E71"/>
    <mergeCell ref="C72:E72"/>
    <mergeCell ref="C64:E64"/>
    <mergeCell ref="C65:E65"/>
    <mergeCell ref="C100:E100"/>
    <mergeCell ref="C102:E102"/>
    <mergeCell ref="C96:E96"/>
    <mergeCell ref="C97:E97"/>
    <mergeCell ref="C98:E98"/>
    <mergeCell ref="C76:E76"/>
    <mergeCell ref="C77:E77"/>
    <mergeCell ref="C78:E78"/>
    <mergeCell ref="C79:E79"/>
    <mergeCell ref="C81:E81"/>
    <mergeCell ref="C95:E95"/>
    <mergeCell ref="C94:E94"/>
    <mergeCell ref="C82:E82"/>
    <mergeCell ref="C83:E83"/>
    <mergeCell ref="C84:E84"/>
    <mergeCell ref="C106:E106"/>
    <mergeCell ref="C107:E107"/>
    <mergeCell ref="F107:L107"/>
    <mergeCell ref="F106:L106"/>
    <mergeCell ref="F105:L105"/>
    <mergeCell ref="F104:L104"/>
    <mergeCell ref="C103:E103"/>
    <mergeCell ref="C104:E104"/>
    <mergeCell ref="C105:E105"/>
    <mergeCell ref="F103:L103"/>
    <mergeCell ref="F102:L102"/>
    <mergeCell ref="F100:L100"/>
    <mergeCell ref="F83:L83"/>
    <mergeCell ref="F84:L84"/>
    <mergeCell ref="F85:L85"/>
    <mergeCell ref="F97:L97"/>
    <mergeCell ref="F98:L98"/>
    <mergeCell ref="F91:L91"/>
    <mergeCell ref="F92:L92"/>
    <mergeCell ref="F93:L93"/>
    <mergeCell ref="F96:L96"/>
    <mergeCell ref="F88:L88"/>
    <mergeCell ref="F89:L89"/>
    <mergeCell ref="F90:L90"/>
    <mergeCell ref="F86:L86"/>
    <mergeCell ref="F95:L95"/>
    <mergeCell ref="F54:L54"/>
    <mergeCell ref="F94:L94"/>
    <mergeCell ref="C101:E101"/>
    <mergeCell ref="F101:L101"/>
    <mergeCell ref="F87:L87"/>
    <mergeCell ref="C74:E74"/>
    <mergeCell ref="C80:E80"/>
    <mergeCell ref="F63:L63"/>
    <mergeCell ref="F64:L64"/>
    <mergeCell ref="F65:L65"/>
    <mergeCell ref="F56:L56"/>
    <mergeCell ref="F60:L60"/>
    <mergeCell ref="F72:L72"/>
    <mergeCell ref="F73:L73"/>
    <mergeCell ref="F75:L75"/>
    <mergeCell ref="F76:L76"/>
    <mergeCell ref="F68:L68"/>
    <mergeCell ref="F57:L57"/>
    <mergeCell ref="F58:L58"/>
    <mergeCell ref="F59:L59"/>
    <mergeCell ref="C89:E89"/>
    <mergeCell ref="C90:E90"/>
    <mergeCell ref="C91:E91"/>
    <mergeCell ref="C92:E92"/>
    <mergeCell ref="F80:L80"/>
    <mergeCell ref="F74:L74"/>
    <mergeCell ref="F99:L99"/>
    <mergeCell ref="C59:E59"/>
    <mergeCell ref="C60:E60"/>
    <mergeCell ref="C58:E58"/>
    <mergeCell ref="F66:L66"/>
    <mergeCell ref="F62:L62"/>
    <mergeCell ref="F77:L77"/>
    <mergeCell ref="F78:L78"/>
    <mergeCell ref="C93:E93"/>
    <mergeCell ref="C99:E99"/>
    <mergeCell ref="C85:E85"/>
    <mergeCell ref="C86:E86"/>
    <mergeCell ref="C88:E88"/>
    <mergeCell ref="C87:E87"/>
    <mergeCell ref="F79:L79"/>
    <mergeCell ref="F81:L81"/>
    <mergeCell ref="F82:L82"/>
    <mergeCell ref="F69:L69"/>
    <mergeCell ref="F70:L70"/>
    <mergeCell ref="F71:L71"/>
    <mergeCell ref="F67:L67"/>
    <mergeCell ref="C36:L36"/>
    <mergeCell ref="C38:L38"/>
    <mergeCell ref="C44:L44"/>
    <mergeCell ref="C24:L24"/>
    <mergeCell ref="C25:L25"/>
    <mergeCell ref="C37:G37"/>
    <mergeCell ref="C19:L19"/>
    <mergeCell ref="C27:L27"/>
    <mergeCell ref="C28:L28"/>
    <mergeCell ref="C33:L33"/>
    <mergeCell ref="C34:L34"/>
    <mergeCell ref="C35:L35"/>
    <mergeCell ref="C114:E114"/>
    <mergeCell ref="F114:L114"/>
    <mergeCell ref="C111:E111"/>
    <mergeCell ref="F111:L111"/>
    <mergeCell ref="C112:E112"/>
    <mergeCell ref="F112:L112"/>
    <mergeCell ref="C113:E113"/>
    <mergeCell ref="F113:L113"/>
    <mergeCell ref="C108:E108"/>
    <mergeCell ref="F108:L108"/>
    <mergeCell ref="C109:E109"/>
    <mergeCell ref="F109:L109"/>
    <mergeCell ref="C110:E110"/>
    <mergeCell ref="F110:L110"/>
  </mergeCells>
  <dataValidations count="1">
    <dataValidation type="list" allowBlank="1" showInputMessage="1" showErrorMessage="1" sqref="C37:G37" xr:uid="{00000000-0002-0000-0800-000000000000}">
      <formula1>NMConcNum</formula1>
    </dataValidation>
  </dataValidations>
  <hyperlinks>
    <hyperlink ref="B1:J1" location="Index!A1" display="Index!A1" xr:uid="{00000000-0004-0000-0800-000000000000}"/>
  </hyperlinks>
  <pageMargins left="0.7" right="0.6" top="0.5" bottom="0.5" header="0.3" footer="0.3"/>
  <pageSetup scale="94" orientation="portrait" r:id="rId1"/>
  <headerFooter>
    <oddFooter>&amp;R&amp;A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dimension ref="A1:L89"/>
  <sheetViews>
    <sheetView showGridLines="0" topLeftCell="B1" zoomScaleNormal="100" workbookViewId="0">
      <selection activeCell="H39" sqref="H39"/>
    </sheetView>
  </sheetViews>
  <sheetFormatPr defaultColWidth="9.109375" defaultRowHeight="12.6" x14ac:dyDescent="0.25"/>
  <cols>
    <col min="1" max="1" width="9.109375" style="400" hidden="1" customWidth="1"/>
    <col min="2" max="3" width="3.44140625" style="400" customWidth="1"/>
    <col min="4" max="4" width="7.5546875" style="400" customWidth="1"/>
    <col min="5" max="5" width="8.5546875" style="400" customWidth="1"/>
    <col min="6" max="6" width="22.5546875" style="400" customWidth="1"/>
    <col min="7" max="7" width="7.5546875" style="400" customWidth="1"/>
    <col min="8" max="8" width="8.5546875" style="400" customWidth="1"/>
    <col min="9" max="9" width="7.44140625" style="400" customWidth="1"/>
    <col min="10" max="10" width="21.5546875" style="400" customWidth="1"/>
    <col min="11" max="11" width="4.5546875" style="400" customWidth="1"/>
    <col min="12" max="16384" width="9.109375" style="400"/>
  </cols>
  <sheetData>
    <row r="1" spans="1:12" ht="15.6" x14ac:dyDescent="0.3">
      <c r="A1" s="400" t="str">
        <f t="shared" ref="A1:A10" si="0">AgyIdx</f>
        <v>0A</v>
      </c>
      <c r="B1" s="847" t="str">
        <f>+Index!$A$1</f>
        <v>Office of the State Controller</v>
      </c>
      <c r="C1" s="847"/>
      <c r="D1" s="847"/>
      <c r="E1" s="847"/>
      <c r="F1" s="847"/>
      <c r="G1" s="847"/>
      <c r="H1" s="847"/>
      <c r="I1" s="847"/>
      <c r="J1" s="847"/>
      <c r="K1" s="902"/>
    </row>
    <row r="2" spans="1:12" ht="15.6" x14ac:dyDescent="0.3">
      <c r="A2" s="400" t="str">
        <f t="shared" si="0"/>
        <v>0A</v>
      </c>
      <c r="B2" s="903" t="str">
        <f>+Index!$A$2</f>
        <v>2022 ACFR Worksheets for Nonmajor Component Units</v>
      </c>
      <c r="C2" s="903"/>
      <c r="D2" s="903"/>
      <c r="E2" s="903"/>
      <c r="F2" s="903"/>
      <c r="G2" s="903"/>
      <c r="H2" s="903"/>
      <c r="I2" s="903"/>
      <c r="J2" s="903"/>
      <c r="K2" s="902"/>
    </row>
    <row r="3" spans="1:12" ht="13.8" x14ac:dyDescent="0.25">
      <c r="A3" s="400" t="str">
        <f t="shared" si="0"/>
        <v>0A</v>
      </c>
      <c r="B3" s="959" t="s">
        <v>925</v>
      </c>
      <c r="C3" s="959"/>
      <c r="D3" s="959"/>
      <c r="E3" s="959"/>
      <c r="F3" s="959"/>
      <c r="G3" s="959"/>
      <c r="H3" s="959"/>
      <c r="I3" s="959"/>
      <c r="J3" s="959"/>
      <c r="K3" s="902"/>
    </row>
    <row r="4" spans="1:12" ht="12.75" customHeight="1" x14ac:dyDescent="0.25">
      <c r="A4" s="400" t="str">
        <f t="shared" si="0"/>
        <v>0A</v>
      </c>
      <c r="B4" s="401"/>
      <c r="C4" s="401"/>
      <c r="D4" s="401"/>
      <c r="E4" s="401"/>
      <c r="F4" s="401"/>
      <c r="G4" s="401"/>
      <c r="H4" s="401"/>
      <c r="I4" s="401"/>
      <c r="J4" s="402"/>
      <c r="K4" s="403"/>
    </row>
    <row r="5" spans="1:12" ht="13.2" x14ac:dyDescent="0.25">
      <c r="A5" s="400" t="str">
        <f t="shared" si="0"/>
        <v>0A</v>
      </c>
      <c r="B5" s="404"/>
      <c r="C5" s="404"/>
      <c r="D5" s="404"/>
      <c r="E5" s="405"/>
      <c r="F5" s="406"/>
      <c r="G5" s="407" t="s">
        <v>357</v>
      </c>
      <c r="H5" s="908" t="str">
        <f>Index!$D$10</f>
        <v>0A</v>
      </c>
      <c r="I5" s="908"/>
      <c r="J5" s="908"/>
    </row>
    <row r="6" spans="1:12" ht="13.2" x14ac:dyDescent="0.25">
      <c r="A6" s="400" t="str">
        <f t="shared" si="0"/>
        <v>0A</v>
      </c>
      <c r="B6" s="404"/>
      <c r="C6" s="404"/>
      <c r="D6" s="404"/>
      <c r="E6" s="404"/>
      <c r="F6" s="408"/>
      <c r="G6" s="407" t="s">
        <v>358</v>
      </c>
      <c r="H6" s="908" t="str">
        <f>Index!$D$11</f>
        <v>NC Housing Finance Agency</v>
      </c>
      <c r="I6" s="908"/>
      <c r="J6" s="908"/>
    </row>
    <row r="7" spans="1:12" ht="13.2" x14ac:dyDescent="0.25">
      <c r="A7" s="400" t="str">
        <f t="shared" si="0"/>
        <v>0A</v>
      </c>
      <c r="B7" s="905" t="s">
        <v>747</v>
      </c>
      <c r="C7" s="906"/>
      <c r="D7" s="906"/>
      <c r="E7" s="409" t="s">
        <v>68</v>
      </c>
      <c r="F7" s="401"/>
      <c r="G7" s="407" t="s">
        <v>359</v>
      </c>
      <c r="H7" s="909" t="str">
        <f>CONCATENATE(Index!$D$14,"  ",Index!$D$16)</f>
        <v xml:space="preserve">  </v>
      </c>
      <c r="I7" s="909"/>
      <c r="J7" s="909"/>
    </row>
    <row r="8" spans="1:12" ht="13.2" x14ac:dyDescent="0.25">
      <c r="A8" s="400" t="str">
        <f t="shared" si="0"/>
        <v>0A</v>
      </c>
      <c r="B8" s="408"/>
      <c r="C8" s="408"/>
      <c r="D8" s="406"/>
      <c r="E8" s="401"/>
      <c r="F8" s="401"/>
      <c r="G8" s="407" t="s">
        <v>196</v>
      </c>
      <c r="H8" s="909">
        <f>+Index!$D$15</f>
        <v>0</v>
      </c>
      <c r="I8" s="909"/>
      <c r="J8" s="909"/>
    </row>
    <row r="9" spans="1:12" ht="9.9" customHeight="1" thickBot="1" x14ac:dyDescent="0.3">
      <c r="A9" s="400" t="str">
        <f t="shared" si="0"/>
        <v>0A</v>
      </c>
      <c r="B9" s="410"/>
      <c r="C9" s="410"/>
      <c r="D9" s="410"/>
      <c r="E9" s="410"/>
      <c r="F9" s="410"/>
      <c r="G9" s="410"/>
      <c r="H9" s="410"/>
      <c r="I9" s="410"/>
      <c r="J9" s="410"/>
    </row>
    <row r="10" spans="1:12" ht="9" customHeight="1" x14ac:dyDescent="0.25">
      <c r="A10" s="400" t="str">
        <f t="shared" si="0"/>
        <v>0A</v>
      </c>
      <c r="B10" s="411"/>
      <c r="C10" s="411"/>
      <c r="D10" s="411"/>
      <c r="E10" s="411"/>
      <c r="F10" s="411"/>
      <c r="G10" s="411"/>
      <c r="H10" s="411"/>
      <c r="I10" s="411"/>
      <c r="J10" s="411"/>
    </row>
    <row r="11" spans="1:12" ht="15.75" customHeight="1" x14ac:dyDescent="0.25">
      <c r="B11" s="412" t="s">
        <v>926</v>
      </c>
      <c r="C11" s="412"/>
      <c r="D11" s="412"/>
      <c r="E11" s="412"/>
      <c r="F11" s="412"/>
      <c r="G11" s="412"/>
      <c r="H11" s="412"/>
      <c r="I11" s="412"/>
      <c r="J11" s="412"/>
      <c r="K11" s="413"/>
      <c r="L11" s="414"/>
    </row>
    <row r="12" spans="1:12" ht="12.75" customHeight="1" x14ac:dyDescent="0.25">
      <c r="B12" s="412" t="s">
        <v>962</v>
      </c>
      <c r="C12" s="412"/>
      <c r="D12" s="412"/>
      <c r="E12" s="412"/>
      <c r="F12" s="412"/>
      <c r="G12" s="412"/>
      <c r="H12" s="412"/>
      <c r="I12" s="412"/>
      <c r="J12" s="412"/>
      <c r="K12" s="413"/>
      <c r="L12" s="414"/>
    </row>
    <row r="13" spans="1:12" ht="12.75" customHeight="1" x14ac:dyDescent="0.25">
      <c r="B13" s="960" t="s">
        <v>959</v>
      </c>
      <c r="C13" s="960"/>
      <c r="D13" s="960"/>
      <c r="E13" s="960"/>
      <c r="F13" s="960"/>
      <c r="G13" s="412"/>
      <c r="H13" s="412"/>
      <c r="I13" s="412"/>
      <c r="J13" s="412"/>
      <c r="K13" s="413"/>
      <c r="L13" s="414"/>
    </row>
    <row r="14" spans="1:12" ht="12.75" customHeight="1" x14ac:dyDescent="0.25">
      <c r="B14" s="412"/>
      <c r="C14" s="412"/>
      <c r="D14" s="412"/>
      <c r="E14" s="412"/>
      <c r="F14" s="412"/>
      <c r="G14" s="412"/>
      <c r="H14" s="412"/>
      <c r="I14" s="412"/>
      <c r="J14" s="412"/>
      <c r="K14" s="413"/>
      <c r="L14" s="414"/>
    </row>
    <row r="15" spans="1:12" s="415" customFormat="1" ht="12.75" customHeight="1" x14ac:dyDescent="0.3">
      <c r="B15" s="412" t="s">
        <v>927</v>
      </c>
      <c r="C15" s="416"/>
      <c r="D15" s="404"/>
      <c r="E15" s="404"/>
      <c r="F15" s="404"/>
      <c r="G15" s="404"/>
      <c r="H15" s="404"/>
      <c r="I15" s="404"/>
      <c r="J15" s="404"/>
      <c r="K15" s="400"/>
    </row>
    <row r="16" spans="1:12" s="415" customFormat="1" ht="12.75" customHeight="1" x14ac:dyDescent="0.3">
      <c r="B16" s="412" t="s">
        <v>928</v>
      </c>
      <c r="C16" s="416"/>
      <c r="D16" s="404"/>
      <c r="E16" s="404"/>
      <c r="F16" s="404"/>
      <c r="G16" s="404"/>
      <c r="H16" s="404"/>
      <c r="I16" s="404"/>
      <c r="J16" s="404"/>
      <c r="K16" s="400"/>
    </row>
    <row r="17" spans="2:11" s="415" customFormat="1" ht="3.9" customHeight="1" x14ac:dyDescent="0.3">
      <c r="B17" s="412"/>
      <c r="C17" s="416"/>
      <c r="D17" s="404"/>
      <c r="E17" s="404"/>
      <c r="F17" s="404"/>
      <c r="G17" s="404"/>
      <c r="H17" s="404"/>
      <c r="I17" s="404"/>
      <c r="J17" s="404"/>
      <c r="K17" s="400"/>
    </row>
    <row r="18" spans="2:11" s="415" customFormat="1" ht="12.75" customHeight="1" x14ac:dyDescent="0.3">
      <c r="B18" s="404"/>
      <c r="C18" s="5" t="s">
        <v>752</v>
      </c>
      <c r="D18" s="906" t="s">
        <v>929</v>
      </c>
      <c r="E18" s="906"/>
      <c r="F18" s="906"/>
      <c r="G18" s="906"/>
      <c r="H18" s="906"/>
      <c r="I18" s="906"/>
      <c r="J18" s="906"/>
      <c r="K18" s="400"/>
    </row>
    <row r="19" spans="2:11" s="415" customFormat="1" ht="12.75" customHeight="1" x14ac:dyDescent="0.3">
      <c r="B19" s="404"/>
      <c r="C19" s="5"/>
      <c r="D19" s="906" t="s">
        <v>930</v>
      </c>
      <c r="E19" s="906"/>
      <c r="F19" s="906"/>
      <c r="G19" s="906"/>
      <c r="H19" s="906"/>
      <c r="I19" s="906"/>
      <c r="J19" s="906"/>
      <c r="K19" s="400"/>
    </row>
    <row r="20" spans="2:11" s="415" customFormat="1" ht="3.9" customHeight="1" x14ac:dyDescent="0.3">
      <c r="B20" s="404"/>
      <c r="C20" s="5"/>
      <c r="D20" s="5"/>
      <c r="E20" s="5"/>
      <c r="F20" s="5"/>
      <c r="G20" s="5"/>
      <c r="H20" s="5"/>
      <c r="I20" s="5"/>
      <c r="J20" s="5"/>
      <c r="K20" s="400"/>
    </row>
    <row r="21" spans="2:11" s="415" customFormat="1" ht="12.75" customHeight="1" x14ac:dyDescent="0.3">
      <c r="B21" s="404"/>
      <c r="C21" s="5" t="s">
        <v>760</v>
      </c>
      <c r="D21" s="906" t="s">
        <v>931</v>
      </c>
      <c r="E21" s="906"/>
      <c r="F21" s="906"/>
      <c r="G21" s="906"/>
      <c r="H21" s="906"/>
      <c r="I21" s="906"/>
      <c r="J21" s="906"/>
      <c r="K21" s="400"/>
    </row>
    <row r="22" spans="2:11" s="415" customFormat="1" ht="12.75" customHeight="1" x14ac:dyDescent="0.3">
      <c r="B22" s="404"/>
      <c r="C22" s="5"/>
      <c r="D22" s="5" t="s">
        <v>932</v>
      </c>
      <c r="E22" s="5"/>
      <c r="F22" s="5"/>
      <c r="G22" s="5"/>
      <c r="H22" s="5"/>
      <c r="I22" s="5"/>
      <c r="J22" s="5"/>
      <c r="K22" s="400"/>
    </row>
    <row r="23" spans="2:11" s="415" customFormat="1" ht="3.9" customHeight="1" x14ac:dyDescent="0.3">
      <c r="B23" s="404"/>
      <c r="C23" s="5"/>
      <c r="D23" s="5"/>
      <c r="E23" s="5"/>
      <c r="F23" s="5"/>
      <c r="G23" s="5"/>
      <c r="H23" s="5"/>
      <c r="I23" s="5"/>
      <c r="J23" s="5"/>
      <c r="K23" s="400"/>
    </row>
    <row r="24" spans="2:11" s="415" customFormat="1" ht="15.6" x14ac:dyDescent="0.3">
      <c r="B24" s="404"/>
      <c r="C24" s="5" t="s">
        <v>762</v>
      </c>
      <c r="D24" s="906" t="s">
        <v>956</v>
      </c>
      <c r="E24" s="906"/>
      <c r="F24" s="906"/>
      <c r="G24" s="906"/>
      <c r="H24" s="906"/>
      <c r="I24" s="906"/>
      <c r="J24" s="906"/>
      <c r="K24" s="400"/>
    </row>
    <row r="25" spans="2:11" s="415" customFormat="1" ht="12.75" customHeight="1" x14ac:dyDescent="0.3">
      <c r="B25" s="404"/>
      <c r="C25" s="5"/>
      <c r="D25" s="906" t="s">
        <v>957</v>
      </c>
      <c r="E25" s="906"/>
      <c r="F25" s="906"/>
      <c r="G25" s="906"/>
      <c r="H25" s="906"/>
      <c r="I25" s="906"/>
      <c r="J25" s="906"/>
      <c r="K25" s="400"/>
    </row>
    <row r="26" spans="2:11" s="415" customFormat="1" ht="12.75" customHeight="1" x14ac:dyDescent="0.3">
      <c r="B26" s="404"/>
      <c r="C26" s="5"/>
      <c r="D26" s="5" t="s">
        <v>960</v>
      </c>
      <c r="E26" s="5"/>
      <c r="F26" s="5"/>
      <c r="G26" s="5"/>
      <c r="H26" s="5"/>
      <c r="I26" s="5"/>
      <c r="J26" s="5"/>
      <c r="K26" s="400"/>
    </row>
    <row r="27" spans="2:11" s="415" customFormat="1" ht="12.75" customHeight="1" x14ac:dyDescent="0.3">
      <c r="B27" s="404"/>
      <c r="C27" s="412"/>
      <c r="D27" s="417"/>
      <c r="E27" s="5"/>
      <c r="F27" s="5"/>
      <c r="G27" s="5"/>
      <c r="H27" s="5"/>
      <c r="I27" s="5"/>
      <c r="J27" s="5"/>
      <c r="K27" s="400"/>
    </row>
    <row r="28" spans="2:11" s="415" customFormat="1" ht="12.75" customHeight="1" x14ac:dyDescent="0.3">
      <c r="B28" s="630" t="s">
        <v>1186</v>
      </c>
      <c r="C28" s="416"/>
      <c r="D28" s="404"/>
      <c r="E28" s="404"/>
      <c r="F28" s="404"/>
      <c r="G28" s="404"/>
      <c r="H28" s="404"/>
      <c r="I28" s="404"/>
      <c r="J28" s="404"/>
      <c r="K28" s="400"/>
    </row>
    <row r="29" spans="2:11" s="415" customFormat="1" ht="12.75" customHeight="1" x14ac:dyDescent="0.3">
      <c r="B29" s="630" t="s">
        <v>1259</v>
      </c>
      <c r="C29" s="416"/>
      <c r="D29" s="404"/>
      <c r="E29" s="404"/>
      <c r="F29" s="404"/>
      <c r="G29" s="404"/>
      <c r="H29" s="404"/>
      <c r="I29" s="404"/>
      <c r="J29" s="404"/>
      <c r="K29" s="400"/>
    </row>
    <row r="30" spans="2:11" s="415" customFormat="1" ht="12.75" customHeight="1" x14ac:dyDescent="0.3">
      <c r="B30" s="416"/>
      <c r="C30" s="416"/>
      <c r="D30" s="404"/>
      <c r="E30" s="404"/>
      <c r="F30" s="404"/>
      <c r="G30" s="404"/>
      <c r="H30" s="404"/>
      <c r="I30" s="404"/>
      <c r="J30" s="404"/>
      <c r="K30" s="400"/>
    </row>
    <row r="31" spans="2:11" s="415" customFormat="1" ht="12.75" customHeight="1" x14ac:dyDescent="0.3">
      <c r="B31" s="416"/>
      <c r="C31" s="416"/>
      <c r="D31" s="421" t="s">
        <v>771</v>
      </c>
      <c r="E31" s="746"/>
      <c r="F31" s="488" t="str">
        <f>IF(AND(ISBLANK(E31),ISBLANK(E32))=TRUE,"Answer Missing"," ")</f>
        <v>Answer Missing</v>
      </c>
      <c r="G31" s="404"/>
      <c r="H31" s="404"/>
      <c r="I31" s="404"/>
      <c r="J31" s="404"/>
      <c r="K31" s="400"/>
    </row>
    <row r="32" spans="2:11" s="415" customFormat="1" ht="12.75" customHeight="1" x14ac:dyDescent="0.3">
      <c r="B32" s="416"/>
      <c r="C32" s="416"/>
      <c r="D32" s="421" t="s">
        <v>772</v>
      </c>
      <c r="E32" s="746"/>
      <c r="F32" s="404"/>
      <c r="G32" s="404"/>
      <c r="H32" s="404"/>
      <c r="I32" s="404"/>
      <c r="J32" s="404"/>
      <c r="K32" s="400"/>
    </row>
    <row r="33" spans="2:12" s="415" customFormat="1" ht="12.75" customHeight="1" x14ac:dyDescent="0.3">
      <c r="B33" s="416"/>
      <c r="C33" s="416"/>
      <c r="D33" s="404"/>
      <c r="E33" s="404"/>
      <c r="F33" s="404"/>
      <c r="G33" s="404"/>
      <c r="H33" s="404"/>
      <c r="I33" s="404"/>
      <c r="J33" s="404"/>
      <c r="K33" s="400"/>
    </row>
    <row r="34" spans="2:12" s="415" customFormat="1" ht="12.75" customHeight="1" x14ac:dyDescent="0.3">
      <c r="B34" s="563" t="s">
        <v>1187</v>
      </c>
      <c r="C34" s="416"/>
      <c r="D34" s="404"/>
      <c r="E34" s="404"/>
      <c r="F34" s="404"/>
      <c r="G34" s="404"/>
      <c r="H34" s="404"/>
      <c r="I34" s="404"/>
      <c r="J34" s="404"/>
      <c r="K34" s="400"/>
    </row>
    <row r="35" spans="2:12" s="415" customFormat="1" ht="12.75" customHeight="1" x14ac:dyDescent="0.3">
      <c r="B35" s="563" t="s">
        <v>1188</v>
      </c>
      <c r="C35" s="416"/>
      <c r="D35" s="404"/>
      <c r="E35" s="404"/>
      <c r="F35" s="404"/>
      <c r="G35" s="404"/>
      <c r="H35" s="404"/>
      <c r="I35" s="404"/>
      <c r="J35" s="404"/>
      <c r="K35" s="400"/>
    </row>
    <row r="36" spans="2:12" s="415" customFormat="1" ht="12.75" customHeight="1" x14ac:dyDescent="0.3">
      <c r="B36" s="563" t="s">
        <v>953</v>
      </c>
      <c r="C36" s="629"/>
      <c r="D36" s="404"/>
      <c r="E36" s="404"/>
      <c r="F36" s="404"/>
      <c r="G36" s="404"/>
      <c r="H36" s="404"/>
      <c r="I36" s="404"/>
      <c r="J36" s="404"/>
      <c r="K36" s="400"/>
    </row>
    <row r="37" spans="2:12" s="415" customFormat="1" ht="15.75" customHeight="1" x14ac:dyDescent="0.3">
      <c r="B37" s="416"/>
      <c r="C37" s="416"/>
      <c r="D37" s="776"/>
      <c r="E37" s="493" t="s">
        <v>954</v>
      </c>
      <c r="F37" s="404"/>
      <c r="G37" s="404"/>
      <c r="H37" s="404"/>
      <c r="I37" s="404"/>
      <c r="J37" s="404"/>
      <c r="K37" s="400"/>
    </row>
    <row r="38" spans="2:12" s="415" customFormat="1" ht="12.75" customHeight="1" x14ac:dyDescent="0.3">
      <c r="B38" s="416"/>
      <c r="C38" s="416"/>
      <c r="D38" s="631"/>
      <c r="E38" s="493" t="s">
        <v>958</v>
      </c>
      <c r="F38" s="404"/>
      <c r="G38" s="404"/>
      <c r="H38" s="404"/>
      <c r="I38" s="404"/>
      <c r="J38" s="404"/>
      <c r="K38" s="400"/>
    </row>
    <row r="39" spans="2:12" s="415" customFormat="1" ht="12.75" customHeight="1" x14ac:dyDescent="0.3">
      <c r="B39" s="416"/>
      <c r="C39" s="416"/>
      <c r="D39" s="631"/>
      <c r="E39" s="493" t="s">
        <v>955</v>
      </c>
      <c r="F39" s="404"/>
      <c r="G39" s="404"/>
      <c r="H39" s="404"/>
      <c r="I39" s="404"/>
      <c r="J39" s="404"/>
      <c r="K39" s="400"/>
    </row>
    <row r="40" spans="2:12" s="415" customFormat="1" ht="12.75" customHeight="1" x14ac:dyDescent="0.3">
      <c r="B40" s="629"/>
      <c r="C40" s="629"/>
      <c r="D40" s="631"/>
      <c r="E40" s="632" t="s">
        <v>1189</v>
      </c>
      <c r="F40" s="563"/>
      <c r="G40" s="404"/>
      <c r="H40" s="404"/>
      <c r="I40" s="404"/>
      <c r="J40" s="404"/>
      <c r="K40" s="400"/>
    </row>
    <row r="41" spans="2:12" s="415" customFormat="1" ht="12.75" customHeight="1" x14ac:dyDescent="0.3">
      <c r="B41" s="404"/>
      <c r="C41" s="404"/>
      <c r="D41" s="404"/>
      <c r="E41" s="404"/>
      <c r="F41" s="404"/>
      <c r="G41" s="404"/>
      <c r="H41" s="404"/>
      <c r="I41" s="404"/>
      <c r="J41" s="404"/>
      <c r="K41" s="400"/>
    </row>
    <row r="42" spans="2:12" s="415" customFormat="1" ht="12.75" customHeight="1" x14ac:dyDescent="0.3">
      <c r="B42" s="423" t="s">
        <v>773</v>
      </c>
      <c r="C42" s="416"/>
      <c r="D42" s="404"/>
      <c r="E42" s="404"/>
      <c r="F42" s="404"/>
      <c r="G42" s="404"/>
      <c r="H42" s="404"/>
      <c r="I42" s="404"/>
      <c r="J42" s="404"/>
      <c r="K42" s="400"/>
    </row>
    <row r="43" spans="2:12" ht="12.75" customHeight="1" x14ac:dyDescent="0.25">
      <c r="B43" s="633" t="s">
        <v>1193</v>
      </c>
      <c r="C43" s="150"/>
      <c r="D43" s="150"/>
      <c r="E43" s="150"/>
      <c r="F43" s="150"/>
      <c r="G43" s="150"/>
      <c r="H43" s="150"/>
      <c r="I43" s="150"/>
      <c r="J43" s="404"/>
    </row>
    <row r="44" spans="2:12" ht="12.75" customHeight="1" x14ac:dyDescent="0.25">
      <c r="B44" s="633" t="s">
        <v>1274</v>
      </c>
      <c r="C44" s="150"/>
      <c r="D44" s="150"/>
      <c r="E44" s="150"/>
      <c r="F44" s="150"/>
      <c r="G44" s="150"/>
      <c r="H44" s="150"/>
      <c r="I44" s="150"/>
      <c r="J44" s="404"/>
    </row>
    <row r="45" spans="2:12" ht="12" customHeight="1" x14ac:dyDescent="0.25">
      <c r="B45" s="416"/>
      <c r="C45" s="416"/>
      <c r="D45" s="404"/>
      <c r="E45" s="404"/>
      <c r="F45" s="404"/>
      <c r="G45" s="404"/>
      <c r="H45" s="404"/>
      <c r="I45" s="404"/>
      <c r="J45" s="404"/>
    </row>
    <row r="46" spans="2:12" ht="5.0999999999999996" customHeight="1" x14ac:dyDescent="0.25">
      <c r="B46" s="416"/>
      <c r="C46" s="416"/>
      <c r="D46" s="404"/>
      <c r="E46" s="404"/>
      <c r="F46" s="404"/>
      <c r="G46" s="404"/>
      <c r="H46" s="404"/>
      <c r="I46" s="404"/>
      <c r="J46" s="404"/>
    </row>
    <row r="47" spans="2:12" ht="15.75" customHeight="1" x14ac:dyDescent="0.25">
      <c r="B47" s="404"/>
      <c r="C47" s="404"/>
      <c r="D47" s="404"/>
      <c r="E47" s="404"/>
      <c r="F47" s="404"/>
      <c r="G47" s="404"/>
      <c r="H47" s="404"/>
      <c r="I47" s="404"/>
      <c r="J47" s="404"/>
    </row>
    <row r="48" spans="2:12" ht="15.75" customHeight="1" x14ac:dyDescent="0.25">
      <c r="B48" s="404"/>
      <c r="C48" s="404"/>
      <c r="D48" s="404"/>
      <c r="E48" s="404"/>
      <c r="F48" s="404"/>
      <c r="G48" s="404"/>
      <c r="H48" s="404"/>
      <c r="I48" s="404"/>
      <c r="J48" s="150"/>
      <c r="K48" s="150"/>
      <c r="L48" s="424"/>
    </row>
    <row r="49" spans="2:12" ht="15.75" customHeight="1" x14ac:dyDescent="0.25">
      <c r="B49" s="404"/>
      <c r="C49" s="404"/>
      <c r="D49" s="404"/>
      <c r="E49" s="404"/>
      <c r="F49" s="404"/>
      <c r="G49" s="404"/>
      <c r="H49" s="404"/>
      <c r="I49" s="404"/>
      <c r="J49" s="150"/>
      <c r="K49" s="150"/>
      <c r="L49" s="150"/>
    </row>
    <row r="50" spans="2:12" ht="15.75" customHeight="1" x14ac:dyDescent="0.25">
      <c r="B50" s="416"/>
      <c r="C50" s="416"/>
      <c r="D50" s="404"/>
      <c r="E50" s="404"/>
      <c r="F50" s="404"/>
      <c r="G50" s="404"/>
      <c r="H50" s="404"/>
      <c r="I50" s="404"/>
      <c r="J50" s="404"/>
    </row>
    <row r="51" spans="2:12" ht="12" customHeight="1" x14ac:dyDescent="0.25">
      <c r="B51" s="416"/>
      <c r="C51" s="416"/>
      <c r="D51" s="404"/>
      <c r="E51" s="404"/>
      <c r="F51" s="404"/>
      <c r="G51" s="404"/>
      <c r="H51" s="404"/>
      <c r="I51" s="404"/>
      <c r="J51" s="404"/>
    </row>
    <row r="52" spans="2:12" ht="12" customHeight="1" x14ac:dyDescent="0.25">
      <c r="B52" s="416"/>
      <c r="C52" s="416"/>
      <c r="D52" s="404"/>
      <c r="E52" s="404"/>
      <c r="F52" s="404"/>
      <c r="G52" s="404"/>
      <c r="H52" s="404"/>
      <c r="I52" s="404"/>
      <c r="J52" s="404"/>
    </row>
    <row r="53" spans="2:12" ht="12" customHeight="1" x14ac:dyDescent="0.25">
      <c r="B53" s="416"/>
      <c r="C53" s="416"/>
      <c r="D53" s="404"/>
      <c r="E53" s="404"/>
      <c r="F53" s="404"/>
      <c r="G53" s="404"/>
      <c r="H53" s="404"/>
      <c r="I53" s="404"/>
      <c r="J53" s="404"/>
    </row>
    <row r="54" spans="2:12" ht="12" customHeight="1" x14ac:dyDescent="0.25">
      <c r="B54" s="416"/>
      <c r="C54" s="416"/>
      <c r="D54" s="404"/>
      <c r="E54" s="404"/>
      <c r="F54" s="404"/>
      <c r="G54" s="404"/>
      <c r="H54" s="404"/>
      <c r="I54" s="404"/>
      <c r="J54" s="404"/>
    </row>
    <row r="55" spans="2:12" ht="5.0999999999999996" customHeight="1" x14ac:dyDescent="0.25">
      <c r="B55" s="416"/>
      <c r="C55" s="416"/>
      <c r="D55" s="404"/>
      <c r="E55" s="404"/>
      <c r="F55" s="404"/>
      <c r="G55" s="404"/>
      <c r="H55" s="404"/>
      <c r="I55" s="404"/>
      <c r="J55" s="404"/>
    </row>
    <row r="56" spans="2:12" ht="12" customHeight="1" x14ac:dyDescent="0.25">
      <c r="B56" s="416"/>
      <c r="C56" s="416"/>
      <c r="D56" s="404"/>
      <c r="E56" s="404"/>
      <c r="F56" s="404"/>
      <c r="G56" s="404"/>
      <c r="H56" s="404"/>
      <c r="I56" s="404"/>
      <c r="J56" s="404"/>
    </row>
    <row r="57" spans="2:12" ht="12" customHeight="1" x14ac:dyDescent="0.25">
      <c r="B57" s="416"/>
      <c r="C57" s="416"/>
      <c r="D57" s="404"/>
      <c r="E57" s="404"/>
      <c r="F57" s="404"/>
      <c r="G57" s="404"/>
      <c r="H57" s="404"/>
      <c r="I57" s="404"/>
      <c r="J57" s="404"/>
    </row>
    <row r="58" spans="2:12" ht="12" customHeight="1" x14ac:dyDescent="0.25">
      <c r="B58" s="416"/>
      <c r="C58" s="416"/>
      <c r="D58" s="404"/>
      <c r="E58" s="404"/>
      <c r="F58" s="404"/>
      <c r="G58" s="404"/>
      <c r="H58" s="404"/>
      <c r="I58" s="404"/>
      <c r="J58" s="404"/>
    </row>
    <row r="59" spans="2:12" ht="12" customHeight="1" x14ac:dyDescent="0.25">
      <c r="B59" s="416"/>
      <c r="C59" s="416"/>
      <c r="D59" s="404"/>
      <c r="E59" s="404"/>
      <c r="F59" s="404"/>
      <c r="G59" s="404"/>
      <c r="H59" s="404"/>
      <c r="I59" s="404"/>
      <c r="J59" s="404"/>
    </row>
    <row r="60" spans="2:12" ht="12" customHeight="1" x14ac:dyDescent="0.25">
      <c r="B60" s="425"/>
      <c r="C60" s="425"/>
      <c r="D60" s="426"/>
      <c r="E60" s="426"/>
      <c r="F60" s="426"/>
      <c r="G60" s="426"/>
      <c r="H60" s="426"/>
      <c r="I60" s="426"/>
      <c r="J60" s="426"/>
    </row>
    <row r="61" spans="2:12" ht="12" customHeight="1" x14ac:dyDescent="0.25">
      <c r="B61" s="425"/>
      <c r="C61" s="425"/>
      <c r="D61" s="426"/>
      <c r="E61" s="426"/>
      <c r="F61" s="426"/>
      <c r="G61" s="426"/>
      <c r="H61" s="426"/>
      <c r="I61" s="426"/>
      <c r="J61" s="426"/>
    </row>
    <row r="62" spans="2:12" ht="5.0999999999999996" customHeight="1" x14ac:dyDescent="0.25">
      <c r="B62" s="425"/>
      <c r="C62" s="425"/>
      <c r="D62" s="426"/>
      <c r="E62" s="426"/>
      <c r="F62" s="426"/>
      <c r="G62" s="426"/>
      <c r="H62" s="426"/>
      <c r="I62" s="426"/>
      <c r="J62" s="426"/>
    </row>
    <row r="66" spans="1:12" ht="14.1" customHeight="1" x14ac:dyDescent="0.25">
      <c r="B66" s="425"/>
      <c r="C66" s="150"/>
      <c r="D66" s="150"/>
      <c r="E66" s="150"/>
      <c r="F66" s="150"/>
      <c r="G66" s="150"/>
      <c r="H66" s="150"/>
      <c r="I66" s="150"/>
      <c r="J66" s="150"/>
      <c r="K66" s="150"/>
      <c r="L66" s="150"/>
    </row>
    <row r="67" spans="1:12" ht="5.0999999999999996" customHeight="1" x14ac:dyDescent="0.25">
      <c r="B67" s="425"/>
      <c r="C67" s="425"/>
      <c r="D67" s="426"/>
      <c r="E67" s="426"/>
      <c r="F67" s="426"/>
      <c r="G67" s="426"/>
      <c r="H67" s="426"/>
      <c r="I67" s="426"/>
      <c r="J67" s="426"/>
    </row>
    <row r="68" spans="1:12" ht="12" customHeight="1" x14ac:dyDescent="0.25">
      <c r="B68" s="425"/>
      <c r="C68" s="425"/>
      <c r="D68" s="426"/>
      <c r="E68" s="426"/>
      <c r="F68" s="426"/>
      <c r="G68" s="426"/>
      <c r="H68" s="426"/>
      <c r="I68" s="426"/>
      <c r="J68" s="426"/>
    </row>
    <row r="69" spans="1:12" x14ac:dyDescent="0.25">
      <c r="B69" s="425"/>
      <c r="C69" s="425"/>
      <c r="D69" s="426"/>
      <c r="E69" s="426"/>
      <c r="F69" s="426"/>
      <c r="G69" s="426"/>
      <c r="H69" s="426"/>
      <c r="I69" s="426"/>
      <c r="J69" s="426"/>
    </row>
    <row r="70" spans="1:12" x14ac:dyDescent="0.25">
      <c r="B70" s="425"/>
      <c r="C70" s="425"/>
      <c r="D70" s="426"/>
      <c r="E70" s="426"/>
      <c r="F70" s="426"/>
      <c r="G70" s="426"/>
      <c r="H70" s="426"/>
      <c r="I70" s="426"/>
      <c r="J70" s="426"/>
    </row>
    <row r="71" spans="1:12" ht="16.5" customHeight="1" x14ac:dyDescent="0.25">
      <c r="B71" s="425"/>
      <c r="C71" s="425"/>
      <c r="D71" s="426"/>
      <c r="E71" s="426"/>
      <c r="F71" s="426"/>
      <c r="G71" s="426"/>
      <c r="H71" s="426"/>
      <c r="I71" s="426"/>
      <c r="J71" s="426"/>
    </row>
    <row r="72" spans="1:12" ht="5.0999999999999996" customHeight="1" x14ac:dyDescent="0.25">
      <c r="B72" s="425"/>
      <c r="C72" s="425"/>
      <c r="D72" s="426"/>
      <c r="E72" s="426"/>
      <c r="F72" s="426"/>
      <c r="G72" s="426"/>
      <c r="H72" s="426"/>
      <c r="I72" s="426"/>
      <c r="J72" s="426"/>
    </row>
    <row r="73" spans="1:12" x14ac:dyDescent="0.25">
      <c r="B73" s="425"/>
      <c r="C73" s="425"/>
      <c r="D73" s="426"/>
      <c r="E73" s="426"/>
      <c r="F73" s="426"/>
      <c r="G73" s="426"/>
      <c r="H73" s="426"/>
      <c r="I73" s="426"/>
      <c r="J73" s="426"/>
    </row>
    <row r="74" spans="1:12" x14ac:dyDescent="0.25">
      <c r="B74" s="425"/>
      <c r="C74" s="425"/>
      <c r="D74" s="426"/>
      <c r="E74" s="426"/>
      <c r="F74" s="426"/>
      <c r="G74" s="426"/>
      <c r="H74" s="426"/>
      <c r="I74" s="426"/>
      <c r="J74" s="426"/>
    </row>
    <row r="75" spans="1:12" x14ac:dyDescent="0.25">
      <c r="B75" s="425"/>
      <c r="C75" s="425"/>
      <c r="D75" s="426"/>
      <c r="E75" s="426"/>
      <c r="F75" s="426"/>
      <c r="G75" s="426"/>
      <c r="H75" s="426"/>
      <c r="I75" s="426"/>
      <c r="J75" s="426"/>
    </row>
    <row r="76" spans="1:12" ht="16.5" customHeight="1" x14ac:dyDescent="0.25">
      <c r="B76" s="425"/>
      <c r="C76" s="425"/>
      <c r="D76" s="426"/>
      <c r="E76" s="426"/>
      <c r="F76" s="426"/>
      <c r="G76" s="426"/>
      <c r="H76" s="426"/>
      <c r="I76" s="426"/>
      <c r="J76" s="426"/>
    </row>
    <row r="77" spans="1:12" ht="11.1" customHeight="1" x14ac:dyDescent="0.25">
      <c r="B77" s="425"/>
      <c r="C77" s="425"/>
      <c r="D77" s="426"/>
      <c r="E77" s="426"/>
      <c r="F77" s="426"/>
      <c r="G77" s="426"/>
      <c r="H77" s="426"/>
      <c r="I77" s="426"/>
      <c r="J77" s="426"/>
    </row>
    <row r="78" spans="1:12" x14ac:dyDescent="0.25">
      <c r="A78" s="400" t="str">
        <f>AgyIdx</f>
        <v>0A</v>
      </c>
      <c r="B78" s="425"/>
      <c r="C78" s="425"/>
      <c r="D78" s="426"/>
      <c r="E78" s="426"/>
      <c r="F78" s="426"/>
      <c r="G78" s="426"/>
      <c r="H78" s="426"/>
      <c r="I78" s="426"/>
      <c r="J78" s="426"/>
    </row>
    <row r="79" spans="1:12" ht="15" x14ac:dyDescent="0.25">
      <c r="A79" s="383" t="str">
        <f ca="1">MID(CELL("filename",A1),FIND("]",CELL("filename",A1))+1,256)</f>
        <v>120</v>
      </c>
      <c r="B79" s="425" t="s">
        <v>776</v>
      </c>
      <c r="C79" s="425"/>
      <c r="D79" s="426"/>
      <c r="E79" s="426"/>
      <c r="F79" s="426"/>
      <c r="G79" s="426"/>
      <c r="H79" s="426"/>
      <c r="I79" s="426"/>
      <c r="J79" s="426"/>
    </row>
    <row r="80" spans="1:12" ht="15" x14ac:dyDescent="0.25">
      <c r="A80" s="383" t="s">
        <v>9</v>
      </c>
      <c r="B80" s="425" t="s">
        <v>776</v>
      </c>
      <c r="C80" s="425"/>
      <c r="D80" s="426"/>
      <c r="E80" s="426"/>
      <c r="F80" s="426"/>
      <c r="G80" s="426"/>
      <c r="H80" s="426"/>
      <c r="I80" s="426"/>
      <c r="J80" s="426"/>
    </row>
    <row r="81" spans="1:10" ht="15" x14ac:dyDescent="0.25">
      <c r="A81" s="383" t="s">
        <v>10</v>
      </c>
      <c r="B81" s="425" t="s">
        <v>776</v>
      </c>
      <c r="C81" s="425"/>
      <c r="D81" s="426"/>
      <c r="E81" s="426"/>
      <c r="F81" s="426"/>
      <c r="G81" s="426"/>
      <c r="H81" s="426"/>
      <c r="I81" s="426"/>
      <c r="J81" s="426"/>
    </row>
    <row r="82" spans="1:10" ht="15" x14ac:dyDescent="0.25">
      <c r="A82" s="383" t="s">
        <v>11</v>
      </c>
      <c r="B82" s="383" t="s">
        <v>776</v>
      </c>
      <c r="C82" s="425"/>
      <c r="D82" s="426"/>
      <c r="E82" s="426"/>
      <c r="F82" s="426"/>
      <c r="G82" s="426"/>
      <c r="H82" s="426"/>
      <c r="I82" s="426"/>
      <c r="J82" s="426"/>
    </row>
    <row r="83" spans="1:10" ht="15" x14ac:dyDescent="0.25">
      <c r="A83" s="383" t="s">
        <v>12</v>
      </c>
      <c r="B83" s="383" t="s">
        <v>776</v>
      </c>
      <c r="C83" s="383"/>
    </row>
    <row r="84" spans="1:10" ht="15" x14ac:dyDescent="0.25">
      <c r="A84" s="383" t="s">
        <v>13</v>
      </c>
      <c r="B84" s="383" t="s">
        <v>776</v>
      </c>
      <c r="C84" s="383"/>
    </row>
    <row r="85" spans="1:10" ht="15" x14ac:dyDescent="0.25">
      <c r="A85" s="383" t="s">
        <v>14</v>
      </c>
      <c r="B85" s="383" t="s">
        <v>776</v>
      </c>
      <c r="C85" s="383"/>
    </row>
    <row r="86" spans="1:10" ht="15" x14ac:dyDescent="0.25">
      <c r="A86" s="383" t="s">
        <v>15</v>
      </c>
      <c r="B86" s="383" t="s">
        <v>776</v>
      </c>
      <c r="C86" s="383"/>
    </row>
    <row r="87" spans="1:10" ht="15" x14ac:dyDescent="0.25">
      <c r="A87" s="383" t="s">
        <v>16</v>
      </c>
      <c r="B87" s="383" t="s">
        <v>776</v>
      </c>
      <c r="C87" s="383"/>
    </row>
    <row r="88" spans="1:10" ht="15" x14ac:dyDescent="0.25">
      <c r="A88" s="383" t="s">
        <v>17</v>
      </c>
      <c r="B88" s="383" t="s">
        <v>776</v>
      </c>
      <c r="C88" s="383"/>
    </row>
    <row r="89" spans="1:10" ht="15" x14ac:dyDescent="0.25">
      <c r="A89" s="383" t="s">
        <v>18</v>
      </c>
      <c r="C89" s="383"/>
    </row>
  </sheetData>
  <sheetProtection algorithmName="SHA-512" hashValue="InKBrQo0yY3FBgpzUDyy6sWM0p0G/nbBLhcawbwc1xQ+bC8prar2trRe/hXAYqakfRafqZ9AT7DuW7xszacG6g==" saltValue="00XWCgnIFXJL6743dwerfA==" spinCount="100000" sheet="1" objects="1" scenarios="1" autoFilter="0"/>
  <mergeCells count="15">
    <mergeCell ref="D25:J25"/>
    <mergeCell ref="B1:J1"/>
    <mergeCell ref="H6:J6"/>
    <mergeCell ref="H8:J8"/>
    <mergeCell ref="D19:J19"/>
    <mergeCell ref="D21:J21"/>
    <mergeCell ref="H5:J5"/>
    <mergeCell ref="H7:J7"/>
    <mergeCell ref="D24:J24"/>
    <mergeCell ref="B13:F13"/>
    <mergeCell ref="K1:K3"/>
    <mergeCell ref="B2:J2"/>
    <mergeCell ref="B3:J3"/>
    <mergeCell ref="B7:D7"/>
    <mergeCell ref="D18:J18"/>
  </mergeCells>
  <conditionalFormatting sqref="K1:K3">
    <cfRule type="cellIs" dxfId="36" priority="2" stopIfTrue="1" operator="equal">
      <formula>"na"</formula>
    </cfRule>
  </conditionalFormatting>
  <conditionalFormatting sqref="F31">
    <cfRule type="containsText" dxfId="35" priority="1" stopIfTrue="1" operator="containsText" text="Answer Missing">
      <formula>NOT(ISERROR(SEARCH("Answer Missing",F31)))</formula>
    </cfRule>
  </conditionalFormatting>
  <hyperlinks>
    <hyperlink ref="B1:J1" location="Index!A1" display="Index!A1" xr:uid="{00000000-0004-0000-0900-000000000000}"/>
    <hyperlink ref="B13" r:id="rId1" xr:uid="{00000000-0004-0000-0900-000001000000}"/>
    <hyperlink ref="B13:F13" r:id="rId2" display="Financial Reporting Update for GASB 69" xr:uid="{83FDA43D-EC06-4B0A-B304-112D9546A303}"/>
  </hyperlinks>
  <pageMargins left="0.95" right="0.45" top="0.5" bottom="0.5" header="0.3" footer="0.3"/>
  <pageSetup orientation="portrait" r:id="rId3"/>
  <headerFooter>
    <oddFooter>&amp;R&amp;A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BF9B0-C16B-4BAD-B902-77DC5D421F3C}">
  <sheetPr codeName="Sheet17"/>
  <dimension ref="A1:X121"/>
  <sheetViews>
    <sheetView showGridLines="0" topLeftCell="B1" workbookViewId="0">
      <selection activeCell="B1" sqref="B1:K1"/>
    </sheetView>
  </sheetViews>
  <sheetFormatPr defaultColWidth="9.33203125" defaultRowHeight="12.6" x14ac:dyDescent="0.25"/>
  <cols>
    <col min="1" max="1" width="9.33203125" style="400" hidden="1" customWidth="1"/>
    <col min="2" max="3" width="3.33203125" style="400" customWidth="1"/>
    <col min="4" max="4" width="7.6640625" style="400" customWidth="1"/>
    <col min="5" max="5" width="1" style="400" customWidth="1"/>
    <col min="6" max="6" width="8.6640625" style="400" customWidth="1"/>
    <col min="7" max="7" width="12.5546875" style="400" customWidth="1"/>
    <col min="8" max="8" width="8.109375" style="400" customWidth="1"/>
    <col min="9" max="9" width="8.6640625" style="400" customWidth="1"/>
    <col min="10" max="10" width="7.33203125" style="400" customWidth="1"/>
    <col min="11" max="11" width="21.6640625" style="400" customWidth="1"/>
    <col min="12" max="12" width="4.6640625" style="400" customWidth="1"/>
    <col min="13" max="16" width="9.33203125" style="400"/>
    <col min="17" max="17" width="5.5546875" style="400" customWidth="1"/>
    <col min="18" max="16384" width="9.33203125" style="400"/>
  </cols>
  <sheetData>
    <row r="1" spans="1:14" ht="15.6" x14ac:dyDescent="0.3">
      <c r="A1" s="400" t="str">
        <f t="shared" ref="A1:A10" si="0">AgyIdx</f>
        <v>0A</v>
      </c>
      <c r="B1" s="847" t="str">
        <f>+Index!$A$1</f>
        <v>Office of the State Controller</v>
      </c>
      <c r="C1" s="847"/>
      <c r="D1" s="847"/>
      <c r="E1" s="847"/>
      <c r="F1" s="847"/>
      <c r="G1" s="847"/>
      <c r="H1" s="847"/>
      <c r="I1" s="847"/>
      <c r="J1" s="847"/>
      <c r="K1" s="847"/>
      <c r="L1" s="962" t="str">
        <f>IF(Index!$B$50="na","NA","")</f>
        <v/>
      </c>
    </row>
    <row r="2" spans="1:14" ht="13.8" x14ac:dyDescent="0.25">
      <c r="A2" s="400" t="str">
        <f t="shared" si="0"/>
        <v>0A</v>
      </c>
      <c r="B2" s="963" t="str">
        <f>+Index!$A$2</f>
        <v>2022 ACFR Worksheets for Nonmajor Component Units</v>
      </c>
      <c r="C2" s="963"/>
      <c r="D2" s="963"/>
      <c r="E2" s="963"/>
      <c r="F2" s="963"/>
      <c r="G2" s="963"/>
      <c r="H2" s="963"/>
      <c r="I2" s="963"/>
      <c r="J2" s="963"/>
      <c r="K2" s="963"/>
      <c r="L2" s="962"/>
    </row>
    <row r="3" spans="1:14" ht="15.6" x14ac:dyDescent="0.3">
      <c r="A3" s="400" t="str">
        <f t="shared" si="0"/>
        <v>0A</v>
      </c>
      <c r="B3" s="964" t="s">
        <v>1183</v>
      </c>
      <c r="C3" s="964"/>
      <c r="D3" s="964"/>
      <c r="E3" s="964"/>
      <c r="F3" s="964"/>
      <c r="G3" s="964"/>
      <c r="H3" s="964"/>
      <c r="I3" s="964"/>
      <c r="J3" s="964"/>
      <c r="K3" s="964"/>
      <c r="L3" s="962"/>
    </row>
    <row r="4" spans="1:14" ht="12.75" customHeight="1" x14ac:dyDescent="0.25">
      <c r="A4" s="400" t="str">
        <f t="shared" si="0"/>
        <v>0A</v>
      </c>
      <c r="B4" s="561"/>
      <c r="C4" s="561"/>
      <c r="D4" s="561"/>
      <c r="E4" s="561"/>
      <c r="F4" s="561"/>
      <c r="G4" s="561"/>
      <c r="H4" s="561"/>
      <c r="I4" s="561"/>
      <c r="J4" s="561"/>
      <c r="K4" s="562"/>
      <c r="L4" s="403"/>
    </row>
    <row r="5" spans="1:14" ht="13.2" x14ac:dyDescent="0.25">
      <c r="A5" s="400" t="str">
        <f t="shared" si="0"/>
        <v>0A</v>
      </c>
      <c r="B5" s="563"/>
      <c r="C5" s="563"/>
      <c r="D5" s="563"/>
      <c r="E5" s="563"/>
      <c r="F5" s="564"/>
      <c r="G5" s="565"/>
      <c r="H5" s="566" t="s">
        <v>357</v>
      </c>
      <c r="I5" s="908" t="str">
        <f>Index!$D$10</f>
        <v>0A</v>
      </c>
      <c r="J5" s="908"/>
      <c r="K5" s="908"/>
    </row>
    <row r="6" spans="1:14" ht="13.2" x14ac:dyDescent="0.25">
      <c r="A6" s="400" t="str">
        <f t="shared" si="0"/>
        <v>0A</v>
      </c>
      <c r="B6" s="563"/>
      <c r="C6" s="563"/>
      <c r="D6" s="563"/>
      <c r="E6" s="563"/>
      <c r="F6" s="563"/>
      <c r="G6" s="710"/>
      <c r="H6" s="566" t="s">
        <v>358</v>
      </c>
      <c r="I6" s="908" t="str">
        <f>Index!$D$11</f>
        <v>NC Housing Finance Agency</v>
      </c>
      <c r="J6" s="908"/>
      <c r="K6" s="908"/>
    </row>
    <row r="7" spans="1:14" ht="13.2" x14ac:dyDescent="0.25">
      <c r="A7" s="400" t="str">
        <f t="shared" si="0"/>
        <v>0A</v>
      </c>
      <c r="B7" s="965" t="s">
        <v>747</v>
      </c>
      <c r="C7" s="966"/>
      <c r="D7" s="966"/>
      <c r="E7" s="708"/>
      <c r="F7" s="567" t="s">
        <v>68</v>
      </c>
      <c r="G7" s="561"/>
      <c r="H7" s="566" t="s">
        <v>359</v>
      </c>
      <c r="I7" s="909" t="str">
        <f>CONCATENATE(Index!$D$14,"  ",Index!$D$16)</f>
        <v xml:space="preserve">  </v>
      </c>
      <c r="J7" s="909"/>
      <c r="K7" s="909"/>
    </row>
    <row r="8" spans="1:14" ht="13.2" x14ac:dyDescent="0.25">
      <c r="A8" s="400" t="str">
        <f t="shared" si="0"/>
        <v>0A</v>
      </c>
      <c r="B8" s="710"/>
      <c r="C8" s="710"/>
      <c r="D8" s="565"/>
      <c r="E8" s="565"/>
      <c r="F8" s="561"/>
      <c r="G8" s="561"/>
      <c r="H8" s="566" t="s">
        <v>196</v>
      </c>
      <c r="I8" s="909">
        <f>+Index!$D$15</f>
        <v>0</v>
      </c>
      <c r="J8" s="909"/>
      <c r="K8" s="909"/>
    </row>
    <row r="9" spans="1:14" ht="10.199999999999999" customHeight="1" thickBot="1" x14ac:dyDescent="0.3">
      <c r="A9" s="400" t="str">
        <f t="shared" si="0"/>
        <v>0A</v>
      </c>
      <c r="B9" s="568"/>
      <c r="C9" s="568"/>
      <c r="D9" s="568"/>
      <c r="E9" s="568"/>
      <c r="F9" s="568"/>
      <c r="G9" s="568"/>
      <c r="H9" s="568"/>
      <c r="I9" s="568"/>
      <c r="J9" s="568"/>
      <c r="K9" s="568"/>
    </row>
    <row r="10" spans="1:14" ht="12" customHeight="1" x14ac:dyDescent="0.25">
      <c r="A10" s="400" t="str">
        <f t="shared" si="0"/>
        <v>0A</v>
      </c>
      <c r="B10" s="569"/>
      <c r="C10" s="569"/>
      <c r="D10" s="569"/>
      <c r="E10" s="569"/>
      <c r="F10" s="569"/>
      <c r="G10" s="569"/>
      <c r="H10" s="569"/>
      <c r="I10" s="569"/>
      <c r="J10" s="569"/>
      <c r="K10" s="569"/>
    </row>
    <row r="11" spans="1:14" ht="12" customHeight="1" x14ac:dyDescent="0.25">
      <c r="B11" s="705" t="s">
        <v>1126</v>
      </c>
      <c r="C11" s="705"/>
      <c r="D11" s="705"/>
      <c r="E11" s="705"/>
      <c r="F11" s="705"/>
      <c r="G11" s="705"/>
      <c r="H11" s="705"/>
      <c r="I11" s="705"/>
      <c r="J11" s="705"/>
      <c r="K11" s="705"/>
      <c r="L11" s="413"/>
      <c r="M11" s="414"/>
    </row>
    <row r="12" spans="1:14" ht="12" customHeight="1" x14ac:dyDescent="0.25">
      <c r="B12" s="705" t="s">
        <v>1127</v>
      </c>
      <c r="C12" s="705"/>
      <c r="D12" s="705"/>
      <c r="E12" s="705"/>
      <c r="F12" s="705"/>
      <c r="G12" s="705"/>
      <c r="H12" s="705"/>
      <c r="I12" s="705"/>
      <c r="J12" s="705"/>
      <c r="K12" s="705"/>
      <c r="L12" s="413"/>
      <c r="M12" s="414"/>
      <c r="N12" s="801"/>
    </row>
    <row r="13" spans="1:14" ht="12" customHeight="1" x14ac:dyDescent="0.25">
      <c r="B13" s="968" t="s">
        <v>1447</v>
      </c>
      <c r="C13" s="968"/>
      <c r="D13" s="968"/>
      <c r="E13" s="968"/>
      <c r="F13" s="968"/>
      <c r="G13" s="968"/>
      <c r="H13" s="705" t="s">
        <v>1431</v>
      </c>
      <c r="I13" s="705"/>
      <c r="J13" s="705"/>
      <c r="K13" s="705"/>
      <c r="L13" s="413"/>
      <c r="M13" s="414"/>
    </row>
    <row r="14" spans="1:14" ht="12" customHeight="1" x14ac:dyDescent="0.25">
      <c r="B14" s="709"/>
      <c r="C14" s="709"/>
      <c r="D14" s="709"/>
      <c r="E14" s="709"/>
      <c r="F14" s="709"/>
      <c r="G14" s="709"/>
      <c r="H14" s="705"/>
      <c r="I14" s="705"/>
      <c r="J14" s="705"/>
      <c r="K14" s="705"/>
      <c r="L14" s="413"/>
      <c r="M14" s="414"/>
    </row>
    <row r="15" spans="1:14" s="415" customFormat="1" ht="12" customHeight="1" x14ac:dyDescent="0.3">
      <c r="B15" s="705" t="s">
        <v>1232</v>
      </c>
      <c r="C15" s="706"/>
      <c r="D15" s="563"/>
      <c r="E15" s="563"/>
      <c r="F15" s="563"/>
      <c r="G15" s="563"/>
      <c r="H15" s="563"/>
      <c r="I15" s="563"/>
      <c r="J15" s="563"/>
      <c r="K15" s="563"/>
      <c r="L15" s="400"/>
    </row>
    <row r="16" spans="1:14" s="415" customFormat="1" ht="12" customHeight="1" x14ac:dyDescent="0.3">
      <c r="B16" s="705" t="s">
        <v>1233</v>
      </c>
      <c r="C16" s="706"/>
      <c r="D16" s="563"/>
      <c r="E16" s="563"/>
      <c r="F16" s="563"/>
      <c r="G16" s="563"/>
      <c r="H16" s="563"/>
      <c r="I16" s="563"/>
      <c r="J16" s="563"/>
      <c r="K16" s="563"/>
      <c r="L16" s="400"/>
    </row>
    <row r="17" spans="2:24" s="415" customFormat="1" ht="12" customHeight="1" x14ac:dyDescent="0.3">
      <c r="B17" s="705" t="s">
        <v>1234</v>
      </c>
      <c r="C17" s="706"/>
      <c r="D17" s="563"/>
      <c r="E17" s="563"/>
      <c r="F17" s="563"/>
      <c r="G17" s="563"/>
      <c r="H17" s="563"/>
      <c r="I17" s="563"/>
      <c r="J17" s="563"/>
      <c r="K17" s="563"/>
      <c r="L17" s="400"/>
    </row>
    <row r="18" spans="2:24" s="415" customFormat="1" ht="12" customHeight="1" x14ac:dyDescent="0.3">
      <c r="B18" s="705" t="s">
        <v>1235</v>
      </c>
      <c r="C18" s="706"/>
      <c r="D18" s="563"/>
      <c r="E18" s="563"/>
      <c r="F18" s="563"/>
      <c r="G18" s="563"/>
      <c r="H18" s="563"/>
      <c r="I18" s="563"/>
      <c r="J18" s="563"/>
      <c r="K18" s="563"/>
      <c r="L18" s="400"/>
    </row>
    <row r="19" spans="2:24" s="415" customFormat="1" ht="12" customHeight="1" x14ac:dyDescent="0.3">
      <c r="B19" s="705" t="s">
        <v>1236</v>
      </c>
      <c r="C19" s="706"/>
      <c r="D19" s="563"/>
      <c r="E19" s="563"/>
      <c r="F19" s="563"/>
      <c r="G19" s="563"/>
      <c r="H19" s="563"/>
      <c r="I19" s="563"/>
      <c r="J19" s="563"/>
      <c r="K19" s="563"/>
      <c r="L19" s="400"/>
    </row>
    <row r="20" spans="2:24" s="415" customFormat="1" ht="12" customHeight="1" x14ac:dyDescent="0.3">
      <c r="B20" s="705" t="s">
        <v>1237</v>
      </c>
      <c r="C20" s="706"/>
      <c r="D20" s="563"/>
      <c r="E20" s="563"/>
      <c r="F20" s="563"/>
      <c r="G20" s="563"/>
      <c r="H20" s="563"/>
      <c r="I20" s="563"/>
      <c r="J20" s="563"/>
      <c r="K20" s="563"/>
      <c r="L20" s="400"/>
    </row>
    <row r="21" spans="2:24" s="415" customFormat="1" ht="6" customHeight="1" x14ac:dyDescent="0.3">
      <c r="B21" s="563"/>
      <c r="C21" s="705"/>
      <c r="D21" s="707"/>
      <c r="E21" s="707"/>
      <c r="F21" s="708"/>
      <c r="G21" s="708"/>
      <c r="H21" s="708"/>
      <c r="I21" s="708"/>
      <c r="J21" s="708"/>
      <c r="K21" s="708"/>
      <c r="L21" s="400"/>
      <c r="M21" s="419"/>
      <c r="O21" s="705"/>
      <c r="P21" s="707"/>
      <c r="Q21" s="707"/>
      <c r="R21" s="708"/>
      <c r="S21" s="708"/>
      <c r="T21" s="708"/>
      <c r="U21" s="708"/>
      <c r="V21" s="708"/>
      <c r="W21" s="708"/>
      <c r="X21" s="400"/>
    </row>
    <row r="22" spans="2:24" s="415" customFormat="1" ht="12" customHeight="1" x14ac:dyDescent="0.3">
      <c r="B22" s="563" t="s">
        <v>1128</v>
      </c>
      <c r="C22" s="705"/>
      <c r="D22" s="707"/>
      <c r="E22" s="707"/>
      <c r="F22" s="708"/>
      <c r="G22" s="708"/>
      <c r="H22" s="708"/>
      <c r="I22" s="708"/>
      <c r="J22" s="708"/>
      <c r="K22" s="708"/>
      <c r="L22" s="400"/>
      <c r="M22" s="419"/>
      <c r="N22" s="420"/>
    </row>
    <row r="23" spans="2:24" s="415" customFormat="1" ht="3.6" customHeight="1" x14ac:dyDescent="0.3">
      <c r="B23" s="563"/>
      <c r="C23" s="705"/>
      <c r="D23" s="707"/>
      <c r="E23" s="707"/>
      <c r="F23" s="708"/>
      <c r="G23" s="708"/>
      <c r="H23" s="708"/>
      <c r="I23" s="708"/>
      <c r="J23" s="708"/>
      <c r="K23" s="708"/>
      <c r="L23" s="400"/>
      <c r="M23" s="419"/>
      <c r="N23" s="420"/>
    </row>
    <row r="24" spans="2:24" s="415" customFormat="1" ht="12" customHeight="1" x14ac:dyDescent="0.3">
      <c r="B24" s="706" t="s">
        <v>1129</v>
      </c>
      <c r="C24" s="705"/>
      <c r="D24" s="707"/>
      <c r="E24" s="707"/>
      <c r="F24" s="708"/>
      <c r="G24" s="708"/>
      <c r="H24" s="708"/>
      <c r="I24" s="708"/>
      <c r="J24" s="708"/>
      <c r="K24" s="708"/>
      <c r="L24" s="400"/>
      <c r="M24" s="419"/>
      <c r="N24" s="420"/>
    </row>
    <row r="25" spans="2:24" s="415" customFormat="1" ht="12" customHeight="1" x14ac:dyDescent="0.3">
      <c r="B25" s="563"/>
      <c r="C25" s="705" t="s">
        <v>752</v>
      </c>
      <c r="D25" s="599"/>
      <c r="F25" s="707" t="s">
        <v>1130</v>
      </c>
      <c r="G25" s="708"/>
      <c r="H25" s="708"/>
      <c r="I25" s="708"/>
      <c r="J25" s="708"/>
      <c r="K25" s="708"/>
      <c r="L25" s="400"/>
      <c r="M25" s="419"/>
      <c r="N25" s="420"/>
    </row>
    <row r="26" spans="2:24" s="415" customFormat="1" ht="12" customHeight="1" x14ac:dyDescent="0.3">
      <c r="B26" s="563"/>
      <c r="C26" s="705" t="s">
        <v>760</v>
      </c>
      <c r="D26" s="600"/>
      <c r="F26" s="707" t="s">
        <v>1148</v>
      </c>
      <c r="G26" s="708"/>
      <c r="H26" s="708"/>
      <c r="I26" s="708"/>
      <c r="J26" s="708"/>
      <c r="K26" s="708"/>
      <c r="L26" s="400"/>
      <c r="M26" s="419"/>
      <c r="N26" s="420"/>
    </row>
    <row r="27" spans="2:24" s="415" customFormat="1" ht="12" customHeight="1" x14ac:dyDescent="0.3">
      <c r="B27" s="563"/>
      <c r="C27" s="705" t="s">
        <v>762</v>
      </c>
      <c r="D27" s="600"/>
      <c r="F27" s="707" t="s">
        <v>1131</v>
      </c>
      <c r="G27" s="708"/>
      <c r="H27" s="708"/>
      <c r="I27" s="708"/>
      <c r="J27" s="708"/>
      <c r="K27" s="708"/>
      <c r="L27" s="400"/>
      <c r="M27" s="419"/>
      <c r="N27" s="420"/>
    </row>
    <row r="28" spans="2:24" s="415" customFormat="1" ht="6" customHeight="1" x14ac:dyDescent="0.3">
      <c r="B28" s="563"/>
      <c r="C28" s="705"/>
      <c r="D28" s="707"/>
      <c r="E28" s="707"/>
      <c r="F28" s="708"/>
      <c r="G28" s="708"/>
      <c r="H28" s="708"/>
      <c r="I28" s="708"/>
      <c r="J28" s="708"/>
      <c r="K28" s="708"/>
      <c r="L28" s="400"/>
      <c r="M28" s="419"/>
      <c r="N28" s="420"/>
    </row>
    <row r="29" spans="2:24" s="415" customFormat="1" ht="12" customHeight="1" x14ac:dyDescent="0.3">
      <c r="B29" s="706" t="s">
        <v>1132</v>
      </c>
      <c r="C29" s="705"/>
      <c r="D29" s="707"/>
      <c r="E29" s="707"/>
      <c r="F29" s="708"/>
      <c r="G29" s="708"/>
      <c r="H29" s="708"/>
      <c r="I29" s="708"/>
      <c r="J29" s="708"/>
      <c r="K29" s="708"/>
      <c r="L29" s="400"/>
      <c r="M29" s="419"/>
      <c r="N29" s="420"/>
    </row>
    <row r="30" spans="2:24" s="415" customFormat="1" ht="12" customHeight="1" x14ac:dyDescent="0.3">
      <c r="B30" s="563"/>
      <c r="C30" s="705" t="s">
        <v>752</v>
      </c>
      <c r="D30" s="599"/>
      <c r="E30" s="707"/>
      <c r="F30" s="707" t="s">
        <v>1238</v>
      </c>
      <c r="G30" s="708"/>
      <c r="H30" s="708"/>
      <c r="I30" s="708"/>
      <c r="J30" s="708"/>
      <c r="K30" s="708"/>
      <c r="L30" s="400"/>
      <c r="M30" s="419"/>
      <c r="N30" s="420"/>
    </row>
    <row r="31" spans="2:24" s="415" customFormat="1" ht="12" customHeight="1" x14ac:dyDescent="0.3">
      <c r="B31" s="563"/>
      <c r="C31" s="705"/>
      <c r="E31" s="707"/>
      <c r="F31" s="707" t="s">
        <v>1239</v>
      </c>
      <c r="G31" s="708"/>
      <c r="H31" s="708"/>
      <c r="I31" s="708"/>
      <c r="J31" s="708"/>
      <c r="K31" s="708"/>
      <c r="L31" s="400"/>
      <c r="M31" s="419"/>
      <c r="N31" s="420"/>
    </row>
    <row r="32" spans="2:24" s="415" customFormat="1" ht="12" customHeight="1" x14ac:dyDescent="0.3">
      <c r="B32" s="563"/>
      <c r="C32" s="705" t="s">
        <v>760</v>
      </c>
      <c r="D32" s="599"/>
      <c r="E32" s="707"/>
      <c r="F32" s="707" t="s">
        <v>1133</v>
      </c>
      <c r="G32" s="708"/>
      <c r="H32" s="708"/>
      <c r="I32" s="708"/>
      <c r="J32" s="708"/>
      <c r="K32" s="708"/>
      <c r="L32" s="400"/>
      <c r="M32" s="419"/>
      <c r="N32" s="420"/>
    </row>
    <row r="33" spans="2:14" s="415" customFormat="1" ht="12" customHeight="1" x14ac:dyDescent="0.3">
      <c r="B33" s="563"/>
      <c r="C33" s="705" t="s">
        <v>762</v>
      </c>
      <c r="D33" s="600"/>
      <c r="E33" s="707"/>
      <c r="F33" s="707" t="s">
        <v>1134</v>
      </c>
      <c r="G33" s="708"/>
      <c r="H33" s="708"/>
      <c r="I33" s="708"/>
      <c r="J33" s="708"/>
      <c r="K33" s="708"/>
      <c r="L33" s="400"/>
      <c r="M33" s="419"/>
      <c r="N33" s="420"/>
    </row>
    <row r="34" spans="2:14" s="415" customFormat="1" ht="12" customHeight="1" x14ac:dyDescent="0.3">
      <c r="B34" s="563"/>
      <c r="C34" s="705" t="s">
        <v>766</v>
      </c>
      <c r="D34" s="600"/>
      <c r="E34" s="707"/>
      <c r="F34" s="707" t="s">
        <v>1135</v>
      </c>
      <c r="G34" s="708"/>
      <c r="H34" s="708"/>
      <c r="I34" s="708"/>
      <c r="J34" s="708"/>
      <c r="K34" s="708"/>
      <c r="L34" s="400"/>
      <c r="M34" s="419"/>
      <c r="N34" s="420"/>
    </row>
    <row r="35" spans="2:14" s="415" customFormat="1" ht="12" customHeight="1" x14ac:dyDescent="0.3">
      <c r="B35" s="563"/>
      <c r="C35" s="705"/>
      <c r="E35" s="707"/>
      <c r="F35" s="707"/>
      <c r="G35" s="708"/>
      <c r="H35" s="708"/>
      <c r="I35" s="708"/>
      <c r="J35" s="708"/>
      <c r="K35" s="708"/>
      <c r="L35" s="400"/>
      <c r="M35" s="419"/>
      <c r="N35" s="420"/>
    </row>
    <row r="36" spans="2:14" s="415" customFormat="1" ht="12" customHeight="1" x14ac:dyDescent="0.3">
      <c r="B36" s="563" t="s">
        <v>1240</v>
      </c>
      <c r="C36" s="400"/>
      <c r="D36" s="400"/>
      <c r="E36" s="400"/>
      <c r="F36" s="400"/>
      <c r="G36" s="400"/>
      <c r="H36" s="400"/>
      <c r="I36" s="400"/>
      <c r="J36" s="400"/>
      <c r="K36" s="400"/>
      <c r="L36" s="400"/>
      <c r="M36" s="712"/>
      <c r="N36" s="420"/>
    </row>
    <row r="37" spans="2:14" s="415" customFormat="1" ht="13.5" customHeight="1" x14ac:dyDescent="0.3">
      <c r="B37" s="563" t="s">
        <v>1241</v>
      </c>
      <c r="C37" s="400"/>
      <c r="D37" s="400"/>
      <c r="E37" s="400"/>
      <c r="F37" s="400"/>
      <c r="G37" s="400"/>
      <c r="H37" s="400"/>
      <c r="I37" s="400"/>
      <c r="J37" s="400"/>
      <c r="K37" s="400"/>
      <c r="L37" s="400"/>
      <c r="M37" s="400"/>
    </row>
    <row r="38" spans="2:14" s="415" customFormat="1" ht="12" customHeight="1" x14ac:dyDescent="0.3">
      <c r="B38" s="706" t="s">
        <v>1432</v>
      </c>
      <c r="C38" s="706"/>
      <c r="D38" s="421"/>
      <c r="E38" s="421"/>
      <c r="F38" s="571"/>
      <c r="G38" s="563"/>
      <c r="H38" s="563"/>
      <c r="I38" s="563"/>
      <c r="J38" s="563"/>
      <c r="K38" s="563"/>
      <c r="L38" s="400"/>
    </row>
    <row r="39" spans="2:14" s="415" customFormat="1" ht="12" customHeight="1" x14ac:dyDescent="0.3">
      <c r="B39" s="713"/>
      <c r="C39" s="713"/>
      <c r="D39" s="714"/>
      <c r="E39" s="714"/>
      <c r="F39" s="715"/>
      <c r="G39" s="716"/>
      <c r="H39" s="716"/>
      <c r="I39" s="716"/>
      <c r="J39" s="716"/>
      <c r="K39" s="716"/>
      <c r="L39" s="717"/>
    </row>
    <row r="40" spans="2:14" s="415" customFormat="1" ht="13.5" customHeight="1" x14ac:dyDescent="0.3">
      <c r="B40" s="572" t="s">
        <v>1242</v>
      </c>
      <c r="C40" s="706"/>
      <c r="D40" s="421"/>
      <c r="E40" s="421"/>
      <c r="F40" s="571"/>
      <c r="G40" s="563"/>
      <c r="H40" s="563"/>
      <c r="I40" s="563"/>
      <c r="J40" s="563"/>
      <c r="K40" s="563"/>
      <c r="L40" s="400"/>
    </row>
    <row r="41" spans="2:14" s="415" customFormat="1" ht="6" customHeight="1" x14ac:dyDescent="0.3">
      <c r="B41" s="572"/>
      <c r="C41" s="706"/>
      <c r="D41" s="421"/>
      <c r="E41" s="421"/>
      <c r="F41" s="571"/>
      <c r="G41" s="563"/>
      <c r="H41" s="563"/>
      <c r="I41" s="563"/>
      <c r="J41" s="563"/>
      <c r="K41" s="563"/>
      <c r="L41" s="400"/>
    </row>
    <row r="42" spans="2:14" s="415" customFormat="1" ht="12" customHeight="1" x14ac:dyDescent="0.3">
      <c r="B42" s="563" t="s">
        <v>1136</v>
      </c>
      <c r="C42" s="706"/>
      <c r="D42" s="421"/>
      <c r="E42" s="421"/>
      <c r="F42" s="571"/>
      <c r="G42" s="563"/>
      <c r="H42" s="563"/>
      <c r="I42" s="563"/>
      <c r="J42" s="563"/>
      <c r="K42" s="563"/>
      <c r="L42" s="400"/>
    </row>
    <row r="43" spans="2:14" s="415" customFormat="1" ht="12.75" customHeight="1" x14ac:dyDescent="0.3">
      <c r="B43" s="706" t="s">
        <v>1243</v>
      </c>
      <c r="C43" s="706"/>
      <c r="D43" s="421"/>
      <c r="E43" s="421"/>
      <c r="F43" s="571"/>
      <c r="G43" s="563"/>
      <c r="H43" s="563"/>
      <c r="I43" s="563"/>
      <c r="J43" s="563"/>
      <c r="K43" s="563"/>
      <c r="L43" s="400"/>
    </row>
    <row r="44" spans="2:14" s="415" customFormat="1" ht="5.25" customHeight="1" x14ac:dyDescent="0.3">
      <c r="B44" s="563"/>
      <c r="C44" s="706"/>
      <c r="D44" s="421"/>
      <c r="E44" s="421"/>
      <c r="F44" s="571"/>
      <c r="G44" s="563"/>
      <c r="H44" s="563"/>
      <c r="I44" s="563"/>
      <c r="J44" s="563"/>
      <c r="K44" s="563"/>
      <c r="L44" s="400"/>
    </row>
    <row r="45" spans="2:14" s="415" customFormat="1" ht="15.6" x14ac:dyDescent="0.3">
      <c r="B45" s="573" t="s">
        <v>1137</v>
      </c>
      <c r="C45" s="706"/>
      <c r="D45" s="421"/>
      <c r="E45" s="421"/>
      <c r="F45" s="571"/>
      <c r="G45" s="563"/>
      <c r="H45" s="563"/>
      <c r="I45" s="563"/>
      <c r="J45" s="563"/>
      <c r="K45" s="563"/>
      <c r="L45" s="400"/>
    </row>
    <row r="46" spans="2:14" s="415" customFormat="1" ht="6" customHeight="1" x14ac:dyDescent="0.3">
      <c r="B46" s="574"/>
      <c r="C46" s="706"/>
      <c r="D46" s="421"/>
      <c r="E46" s="421"/>
      <c r="F46" s="571"/>
      <c r="G46" s="563"/>
      <c r="H46" s="563"/>
      <c r="I46" s="563"/>
      <c r="J46" s="563"/>
      <c r="K46" s="563"/>
      <c r="L46" s="400"/>
    </row>
    <row r="47" spans="2:14" s="563" customFormat="1" ht="13.2" x14ac:dyDescent="0.25">
      <c r="B47" s="575" t="s">
        <v>1138</v>
      </c>
      <c r="C47" s="575"/>
      <c r="D47" s="575"/>
      <c r="E47" s="575"/>
      <c r="F47" s="575"/>
      <c r="G47" s="575"/>
    </row>
    <row r="48" spans="2:14" s="563" customFormat="1" ht="12" customHeight="1" x14ac:dyDescent="0.25">
      <c r="B48" s="563" t="s">
        <v>1244</v>
      </c>
    </row>
    <row r="49" spans="2:10" s="563" customFormat="1" ht="12" customHeight="1" x14ac:dyDescent="0.25">
      <c r="B49" s="563" t="s">
        <v>1245</v>
      </c>
    </row>
    <row r="50" spans="2:10" s="563" customFormat="1" ht="12" customHeight="1" x14ac:dyDescent="0.25">
      <c r="B50" s="706" t="s">
        <v>1139</v>
      </c>
      <c r="I50" s="961"/>
      <c r="J50" s="961"/>
    </row>
    <row r="51" spans="2:10" s="563" customFormat="1" ht="12" customHeight="1" x14ac:dyDescent="0.25">
      <c r="B51" s="706" t="s">
        <v>1159</v>
      </c>
      <c r="I51" s="718"/>
      <c r="J51" s="718"/>
    </row>
    <row r="52" spans="2:10" s="563" customFormat="1" ht="9.75" customHeight="1" x14ac:dyDescent="0.25"/>
    <row r="53" spans="2:10" s="563" customFormat="1" ht="12" customHeight="1" x14ac:dyDescent="0.25">
      <c r="B53" s="575" t="s">
        <v>1140</v>
      </c>
      <c r="C53" s="706"/>
      <c r="D53" s="421"/>
      <c r="E53" s="421"/>
      <c r="F53" s="571"/>
    </row>
    <row r="54" spans="2:10" s="563" customFormat="1" ht="12" customHeight="1" x14ac:dyDescent="0.25">
      <c r="B54" s="563" t="s">
        <v>1246</v>
      </c>
      <c r="C54" s="706"/>
      <c r="D54" s="421"/>
      <c r="E54" s="421"/>
      <c r="F54" s="571"/>
    </row>
    <row r="55" spans="2:10" s="563" customFormat="1" ht="12" customHeight="1" x14ac:dyDescent="0.25">
      <c r="B55" s="563" t="s">
        <v>1247</v>
      </c>
      <c r="C55" s="706"/>
      <c r="D55" s="421"/>
      <c r="E55" s="421"/>
      <c r="F55" s="571"/>
    </row>
    <row r="56" spans="2:10" s="563" customFormat="1" ht="12" customHeight="1" x14ac:dyDescent="0.25">
      <c r="B56" s="706" t="s">
        <v>1141</v>
      </c>
      <c r="C56" s="706"/>
      <c r="I56" s="961"/>
      <c r="J56" s="961"/>
    </row>
    <row r="57" spans="2:10" s="563" customFormat="1" ht="9.75" customHeight="1" x14ac:dyDescent="0.25">
      <c r="C57" s="706"/>
      <c r="I57" s="718"/>
      <c r="J57" s="718"/>
    </row>
    <row r="58" spans="2:10" s="563" customFormat="1" ht="12" customHeight="1" x14ac:dyDescent="0.25">
      <c r="B58" s="575" t="s">
        <v>1248</v>
      </c>
      <c r="C58" s="706"/>
      <c r="I58" s="718"/>
      <c r="J58" s="718"/>
    </row>
    <row r="59" spans="2:10" s="563" customFormat="1" ht="12" customHeight="1" x14ac:dyDescent="0.25">
      <c r="B59" s="706" t="s">
        <v>1249</v>
      </c>
      <c r="C59" s="706"/>
      <c r="I59" s="967"/>
      <c r="J59" s="967"/>
    </row>
    <row r="60" spans="2:10" s="563" customFormat="1" ht="12" customHeight="1" x14ac:dyDescent="0.25">
      <c r="B60" s="706" t="s">
        <v>1160</v>
      </c>
      <c r="C60" s="706"/>
      <c r="I60" s="961"/>
      <c r="J60" s="961"/>
    </row>
    <row r="61" spans="2:10" s="563" customFormat="1" ht="7.5" customHeight="1" x14ac:dyDescent="0.25">
      <c r="C61" s="706"/>
      <c r="I61" s="576"/>
      <c r="J61" s="576"/>
    </row>
    <row r="62" spans="2:10" s="563" customFormat="1" ht="13.5" customHeight="1" x14ac:dyDescent="0.25">
      <c r="B62" s="706" t="s">
        <v>1250</v>
      </c>
      <c r="C62" s="706"/>
      <c r="I62" s="576"/>
      <c r="J62" s="576"/>
    </row>
    <row r="63" spans="2:10" s="563" customFormat="1" ht="5.25" customHeight="1" x14ac:dyDescent="0.25">
      <c r="C63" s="706"/>
      <c r="I63" s="576"/>
      <c r="J63" s="576"/>
    </row>
    <row r="64" spans="2:10" s="563" customFormat="1" ht="15.6" x14ac:dyDescent="0.3">
      <c r="B64" s="573" t="s">
        <v>1142</v>
      </c>
      <c r="C64" s="706"/>
      <c r="I64" s="576"/>
      <c r="J64" s="576"/>
    </row>
    <row r="65" spans="2:13" s="563" customFormat="1" ht="6" customHeight="1" x14ac:dyDescent="0.3">
      <c r="B65" s="573"/>
      <c r="C65" s="706"/>
      <c r="I65" s="576"/>
      <c r="J65" s="576"/>
    </row>
    <row r="66" spans="2:13" s="563" customFormat="1" ht="12" customHeight="1" x14ac:dyDescent="0.25">
      <c r="B66" s="575" t="s">
        <v>1143</v>
      </c>
      <c r="C66" s="706"/>
      <c r="I66" s="576"/>
      <c r="J66" s="576"/>
    </row>
    <row r="67" spans="2:13" s="563" customFormat="1" ht="12" customHeight="1" x14ac:dyDescent="0.25">
      <c r="B67" s="563" t="s">
        <v>1251</v>
      </c>
      <c r="C67" s="706"/>
      <c r="I67" s="576"/>
      <c r="J67" s="576"/>
    </row>
    <row r="68" spans="2:13" s="563" customFormat="1" ht="12" customHeight="1" x14ac:dyDescent="0.25">
      <c r="B68" s="563" t="s">
        <v>1252</v>
      </c>
      <c r="I68" s="576"/>
      <c r="J68" s="576"/>
    </row>
    <row r="69" spans="2:13" s="563" customFormat="1" ht="12" customHeight="1" x14ac:dyDescent="0.25">
      <c r="B69" s="563" t="s">
        <v>1253</v>
      </c>
      <c r="I69" s="576"/>
      <c r="J69" s="576"/>
    </row>
    <row r="70" spans="2:13" s="563" customFormat="1" ht="12" customHeight="1" x14ac:dyDescent="0.25">
      <c r="B70" s="563" t="s">
        <v>1254</v>
      </c>
      <c r="I70" s="576"/>
      <c r="J70" s="576"/>
    </row>
    <row r="71" spans="2:13" s="563" customFormat="1" ht="12" customHeight="1" x14ac:dyDescent="0.25">
      <c r="B71" s="706" t="s">
        <v>1255</v>
      </c>
      <c r="I71" s="718"/>
      <c r="J71" s="718"/>
    </row>
    <row r="72" spans="2:13" s="563" customFormat="1" ht="12" customHeight="1" x14ac:dyDescent="0.25">
      <c r="I72" s="576"/>
      <c r="J72" s="576"/>
    </row>
    <row r="73" spans="2:13" s="563" customFormat="1" ht="12" customHeight="1" x14ac:dyDescent="0.25">
      <c r="B73" s="575" t="s">
        <v>1149</v>
      </c>
      <c r="I73" s="576"/>
      <c r="J73" s="576"/>
    </row>
    <row r="74" spans="2:13" s="563" customFormat="1" ht="12" customHeight="1" x14ac:dyDescent="0.25">
      <c r="B74" s="563" t="s">
        <v>1256</v>
      </c>
      <c r="I74" s="576"/>
      <c r="J74" s="576"/>
    </row>
    <row r="75" spans="2:13" s="563" customFormat="1" ht="12" customHeight="1" x14ac:dyDescent="0.25">
      <c r="B75" s="563" t="s">
        <v>1257</v>
      </c>
      <c r="I75" s="576"/>
      <c r="J75" s="576"/>
    </row>
    <row r="76" spans="2:13" s="563" customFormat="1" ht="12" customHeight="1" x14ac:dyDescent="0.25">
      <c r="B76" s="706" t="s">
        <v>1258</v>
      </c>
      <c r="I76" s="967"/>
      <c r="J76" s="967"/>
    </row>
    <row r="77" spans="2:13" s="563" customFormat="1" ht="12" customHeight="1" x14ac:dyDescent="0.25">
      <c r="B77" s="706" t="s">
        <v>1160</v>
      </c>
      <c r="I77" s="961"/>
      <c r="J77" s="961"/>
    </row>
    <row r="78" spans="2:13" s="563" customFormat="1" ht="12" customHeight="1" x14ac:dyDescent="0.25"/>
    <row r="79" spans="2:13" ht="12" customHeight="1" x14ac:dyDescent="0.25">
      <c r="B79" s="423" t="s">
        <v>1144</v>
      </c>
      <c r="C79" s="706"/>
      <c r="D79" s="563"/>
      <c r="E79" s="563"/>
      <c r="F79" s="563"/>
      <c r="G79" s="563"/>
      <c r="H79" s="563"/>
      <c r="I79" s="563"/>
      <c r="J79" s="563"/>
      <c r="K79" s="563"/>
    </row>
    <row r="80" spans="2:13" ht="12" customHeight="1" x14ac:dyDescent="0.25">
      <c r="B80" s="705" t="s">
        <v>1145</v>
      </c>
      <c r="C80" s="577"/>
      <c r="D80" s="577"/>
      <c r="E80" s="577"/>
      <c r="F80" s="577"/>
      <c r="G80" s="577"/>
      <c r="H80" s="577"/>
      <c r="I80" s="577"/>
      <c r="J80" s="577"/>
      <c r="K80" s="563"/>
      <c r="L80" s="577"/>
      <c r="M80" s="424"/>
    </row>
    <row r="81" spans="2:13" ht="12" customHeight="1" x14ac:dyDescent="0.25">
      <c r="B81" s="705" t="s">
        <v>1433</v>
      </c>
      <c r="C81" s="577"/>
      <c r="D81" s="577"/>
      <c r="E81" s="577"/>
      <c r="F81" s="577"/>
      <c r="G81" s="577"/>
      <c r="H81" s="577"/>
      <c r="I81" s="577"/>
      <c r="J81" s="577"/>
      <c r="K81" s="563"/>
      <c r="L81" s="577"/>
      <c r="M81" s="577"/>
    </row>
    <row r="82" spans="2:13" ht="6" customHeight="1" x14ac:dyDescent="0.25">
      <c r="B82" s="706"/>
      <c r="C82" s="706"/>
      <c r="D82" s="563"/>
      <c r="E82" s="563"/>
      <c r="F82" s="563"/>
      <c r="G82" s="563"/>
      <c r="H82" s="563"/>
      <c r="I82" s="563"/>
      <c r="J82" s="563"/>
      <c r="K82" s="563"/>
    </row>
    <row r="83" spans="2:13" ht="12" customHeight="1" x14ac:dyDescent="0.25">
      <c r="B83" s="706"/>
      <c r="C83" s="706"/>
      <c r="D83" s="563"/>
      <c r="E83" s="563"/>
      <c r="F83" s="563"/>
      <c r="G83" s="563"/>
      <c r="H83" s="563"/>
      <c r="I83" s="563"/>
      <c r="J83" s="563"/>
      <c r="K83" s="563"/>
    </row>
    <row r="84" spans="2:13" ht="12" customHeight="1" x14ac:dyDescent="0.25">
      <c r="B84" s="706"/>
      <c r="C84" s="706"/>
      <c r="D84" s="563"/>
      <c r="E84" s="563"/>
      <c r="F84" s="563"/>
      <c r="G84" s="563"/>
      <c r="H84" s="563"/>
      <c r="I84" s="563"/>
      <c r="J84" s="563"/>
      <c r="K84" s="563"/>
    </row>
    <row r="85" spans="2:13" ht="12" customHeight="1" x14ac:dyDescent="0.25">
      <c r="B85" s="706"/>
      <c r="C85" s="706"/>
      <c r="D85" s="563"/>
      <c r="E85" s="563"/>
      <c r="F85" s="563"/>
      <c r="G85" s="563"/>
      <c r="H85" s="563"/>
      <c r="I85" s="563"/>
      <c r="J85" s="563"/>
      <c r="K85" s="563"/>
    </row>
    <row r="86" spans="2:13" ht="12" customHeight="1" x14ac:dyDescent="0.25">
      <c r="B86" s="706"/>
      <c r="C86" s="706"/>
      <c r="D86" s="563"/>
      <c r="E86" s="563"/>
      <c r="F86" s="563"/>
      <c r="G86" s="563"/>
      <c r="H86" s="563"/>
      <c r="I86" s="563"/>
      <c r="J86" s="563"/>
      <c r="K86" s="563"/>
    </row>
    <row r="87" spans="2:13" ht="5.0999999999999996" customHeight="1" x14ac:dyDescent="0.25">
      <c r="B87" s="706"/>
      <c r="C87" s="706"/>
      <c r="D87" s="563"/>
      <c r="E87" s="563"/>
      <c r="F87" s="563"/>
      <c r="G87" s="563"/>
      <c r="H87" s="563"/>
      <c r="I87" s="563"/>
      <c r="J87" s="563"/>
      <c r="K87" s="563"/>
    </row>
    <row r="88" spans="2:13" ht="12" customHeight="1" x14ac:dyDescent="0.25">
      <c r="B88" s="706"/>
      <c r="C88" s="706"/>
      <c r="D88" s="563"/>
      <c r="E88" s="563"/>
      <c r="F88" s="563"/>
      <c r="G88" s="563"/>
      <c r="H88" s="563"/>
      <c r="I88" s="563"/>
      <c r="J88" s="563"/>
      <c r="K88" s="563"/>
    </row>
    <row r="89" spans="2:13" ht="12" customHeight="1" x14ac:dyDescent="0.25">
      <c r="B89" s="706"/>
      <c r="C89" s="706"/>
      <c r="D89" s="563"/>
      <c r="E89" s="563"/>
      <c r="F89" s="563"/>
      <c r="G89" s="563"/>
      <c r="H89" s="563"/>
      <c r="I89" s="563"/>
      <c r="J89" s="563"/>
      <c r="K89" s="563"/>
    </row>
    <row r="90" spans="2:13" ht="12" customHeight="1" x14ac:dyDescent="0.25">
      <c r="B90" s="706"/>
      <c r="C90" s="706"/>
      <c r="D90" s="563"/>
      <c r="E90" s="563"/>
      <c r="F90" s="563"/>
      <c r="G90" s="563"/>
      <c r="H90" s="563"/>
      <c r="I90" s="563"/>
      <c r="J90" s="563"/>
      <c r="K90" s="563"/>
    </row>
    <row r="91" spans="2:13" ht="12" customHeight="1" x14ac:dyDescent="0.25">
      <c r="B91" s="706"/>
      <c r="C91" s="706"/>
      <c r="D91" s="563"/>
      <c r="E91" s="563"/>
      <c r="F91" s="563"/>
      <c r="G91" s="563"/>
      <c r="H91" s="563"/>
      <c r="I91" s="563"/>
      <c r="J91" s="563"/>
      <c r="K91" s="563"/>
    </row>
    <row r="92" spans="2:13" ht="12" customHeight="1" x14ac:dyDescent="0.25">
      <c r="B92" s="425"/>
      <c r="C92" s="425"/>
      <c r="D92" s="426"/>
      <c r="E92" s="426"/>
      <c r="F92" s="426"/>
      <c r="G92" s="426"/>
      <c r="H92" s="426"/>
      <c r="I92" s="426"/>
      <c r="J92" s="426"/>
      <c r="K92" s="426"/>
    </row>
    <row r="93" spans="2:13" ht="12" customHeight="1" x14ac:dyDescent="0.25">
      <c r="B93" s="425"/>
      <c r="C93" s="425"/>
      <c r="D93" s="426"/>
      <c r="E93" s="426"/>
      <c r="F93" s="426"/>
      <c r="G93" s="426"/>
      <c r="H93" s="426"/>
      <c r="I93" s="426"/>
      <c r="J93" s="426"/>
      <c r="K93" s="426"/>
    </row>
    <row r="94" spans="2:13" ht="5.0999999999999996" customHeight="1" x14ac:dyDescent="0.25">
      <c r="B94" s="425"/>
      <c r="C94" s="425"/>
      <c r="D94" s="426"/>
      <c r="E94" s="426"/>
      <c r="F94" s="426"/>
      <c r="G94" s="426"/>
      <c r="H94" s="426"/>
      <c r="I94" s="426"/>
      <c r="J94" s="426"/>
      <c r="K94" s="426"/>
    </row>
    <row r="98" spans="1:13" ht="14.1" customHeight="1" x14ac:dyDescent="0.25">
      <c r="B98" s="425"/>
      <c r="C98" s="577"/>
      <c r="D98" s="577"/>
      <c r="E98" s="577"/>
      <c r="F98" s="577"/>
      <c r="G98" s="577"/>
      <c r="H98" s="577"/>
      <c r="I98" s="577"/>
      <c r="J98" s="577"/>
      <c r="K98" s="577"/>
      <c r="L98" s="577"/>
      <c r="M98" s="577"/>
    </row>
    <row r="99" spans="1:13" ht="5.0999999999999996" customHeight="1" x14ac:dyDescent="0.25">
      <c r="B99" s="425"/>
      <c r="C99" s="425"/>
      <c r="D99" s="426"/>
      <c r="E99" s="426"/>
      <c r="F99" s="426"/>
      <c r="G99" s="426"/>
      <c r="H99" s="426"/>
      <c r="I99" s="426"/>
      <c r="J99" s="426"/>
      <c r="K99" s="426"/>
    </row>
    <row r="100" spans="1:13" ht="12" customHeight="1" x14ac:dyDescent="0.25">
      <c r="B100" s="425"/>
      <c r="C100" s="425"/>
      <c r="D100" s="426"/>
      <c r="E100" s="426"/>
      <c r="F100" s="426"/>
      <c r="G100" s="426"/>
      <c r="H100" s="426"/>
      <c r="I100" s="426"/>
      <c r="J100" s="426"/>
      <c r="K100" s="426"/>
    </row>
    <row r="101" spans="1:13" x14ac:dyDescent="0.25">
      <c r="B101" s="425"/>
      <c r="C101" s="425"/>
      <c r="D101" s="426"/>
      <c r="E101" s="426"/>
      <c r="F101" s="426"/>
      <c r="G101" s="426"/>
      <c r="H101" s="426"/>
      <c r="I101" s="426"/>
      <c r="J101" s="426"/>
      <c r="K101" s="426"/>
    </row>
    <row r="102" spans="1:13" x14ac:dyDescent="0.25">
      <c r="B102" s="425"/>
      <c r="C102" s="425"/>
      <c r="D102" s="426"/>
      <c r="E102" s="426"/>
      <c r="F102" s="426"/>
      <c r="G102" s="426"/>
      <c r="H102" s="426"/>
      <c r="I102" s="426"/>
      <c r="J102" s="426"/>
      <c r="K102" s="426"/>
    </row>
    <row r="103" spans="1:13" ht="16.5" customHeight="1" x14ac:dyDescent="0.25">
      <c r="B103" s="425"/>
      <c r="C103" s="425"/>
      <c r="D103" s="426"/>
      <c r="E103" s="426"/>
      <c r="F103" s="426"/>
      <c r="G103" s="426"/>
      <c r="H103" s="426"/>
      <c r="I103" s="426"/>
      <c r="J103" s="426"/>
      <c r="K103" s="426"/>
    </row>
    <row r="104" spans="1:13" ht="5.0999999999999996" customHeight="1" x14ac:dyDescent="0.25">
      <c r="B104" s="425"/>
      <c r="C104" s="425"/>
      <c r="D104" s="426"/>
      <c r="E104" s="426"/>
      <c r="F104" s="426"/>
      <c r="G104" s="426"/>
      <c r="H104" s="426"/>
      <c r="I104" s="426"/>
      <c r="J104" s="426"/>
      <c r="K104" s="426"/>
    </row>
    <row r="105" spans="1:13" x14ac:dyDescent="0.25">
      <c r="B105" s="425"/>
      <c r="C105" s="425"/>
      <c r="D105" s="426"/>
      <c r="E105" s="426"/>
      <c r="F105" s="426"/>
      <c r="G105" s="426"/>
      <c r="H105" s="426"/>
      <c r="I105" s="426"/>
      <c r="J105" s="426"/>
      <c r="K105" s="426"/>
    </row>
    <row r="106" spans="1:13" x14ac:dyDescent="0.25">
      <c r="B106" s="425"/>
      <c r="C106" s="425"/>
      <c r="D106" s="426"/>
      <c r="E106" s="426"/>
      <c r="F106" s="426"/>
      <c r="G106" s="426"/>
      <c r="H106" s="426"/>
      <c r="I106" s="426"/>
      <c r="J106" s="426"/>
      <c r="K106" s="426"/>
    </row>
    <row r="107" spans="1:13" x14ac:dyDescent="0.25">
      <c r="B107" s="425"/>
      <c r="C107" s="425"/>
      <c r="D107" s="426"/>
      <c r="E107" s="426"/>
      <c r="F107" s="426"/>
      <c r="G107" s="426"/>
      <c r="H107" s="426"/>
      <c r="I107" s="426"/>
      <c r="J107" s="426"/>
      <c r="K107" s="426"/>
    </row>
    <row r="108" spans="1:13" ht="16.5" customHeight="1" x14ac:dyDescent="0.25">
      <c r="B108" s="425"/>
      <c r="C108" s="425"/>
      <c r="D108" s="426"/>
      <c r="E108" s="426"/>
      <c r="F108" s="426"/>
      <c r="G108" s="426"/>
      <c r="H108" s="426"/>
      <c r="I108" s="426"/>
      <c r="J108" s="426"/>
      <c r="K108" s="426"/>
    </row>
    <row r="109" spans="1:13" ht="11.1" customHeight="1" x14ac:dyDescent="0.25">
      <c r="B109" s="425"/>
      <c r="C109" s="425"/>
      <c r="D109" s="426"/>
      <c r="E109" s="426"/>
      <c r="F109" s="426"/>
      <c r="G109" s="426"/>
      <c r="H109" s="426"/>
      <c r="I109" s="426"/>
      <c r="J109" s="426"/>
      <c r="K109" s="426"/>
    </row>
    <row r="110" spans="1:13" x14ac:dyDescent="0.25">
      <c r="A110" s="400" t="str">
        <f>AgyIdx</f>
        <v>0A</v>
      </c>
      <c r="B110" s="425"/>
      <c r="C110" s="425"/>
      <c r="D110" s="426"/>
      <c r="E110" s="426"/>
      <c r="F110" s="426"/>
      <c r="G110" s="426"/>
      <c r="H110" s="426"/>
      <c r="I110" s="426"/>
      <c r="J110" s="426"/>
      <c r="K110" s="426"/>
    </row>
    <row r="111" spans="1:13" ht="15" x14ac:dyDescent="0.25">
      <c r="A111" s="383" t="str">
        <f ca="1">MID(CELL("filename",A1),FIND("]",CELL("filename",A1))+1,256)</f>
        <v>323</v>
      </c>
      <c r="B111" s="425" t="str">
        <f t="shared" ref="B111:B120" ca="1" si="1">IF(ISNA(INDEX(ErrorTable,MATCH($A$111&amp;$A112&amp;FALSE,ErrorKey,0),6)),"",INDEX(ErrorTable,MATCH($A$111&amp;$A112&amp;FALSE,ErrorKey,0),6))</f>
        <v/>
      </c>
      <c r="C111" s="425"/>
      <c r="D111" s="426"/>
      <c r="E111" s="426"/>
      <c r="F111" s="426"/>
      <c r="G111" s="426"/>
      <c r="H111" s="426"/>
      <c r="I111" s="426"/>
      <c r="J111" s="426"/>
      <c r="K111" s="426"/>
    </row>
    <row r="112" spans="1:13" ht="15" x14ac:dyDescent="0.25">
      <c r="A112" s="383" t="s">
        <v>9</v>
      </c>
      <c r="B112" s="425" t="str">
        <f t="shared" ca="1" si="1"/>
        <v/>
      </c>
      <c r="C112" s="425"/>
      <c r="D112" s="426"/>
      <c r="E112" s="426"/>
      <c r="F112" s="426"/>
      <c r="G112" s="426"/>
      <c r="H112" s="426"/>
      <c r="I112" s="426"/>
      <c r="J112" s="426"/>
      <c r="K112" s="426"/>
    </row>
    <row r="113" spans="1:11" ht="15" x14ac:dyDescent="0.25">
      <c r="A113" s="383" t="s">
        <v>10</v>
      </c>
      <c r="B113" s="425" t="str">
        <f t="shared" ca="1" si="1"/>
        <v/>
      </c>
      <c r="C113" s="425"/>
      <c r="D113" s="426"/>
      <c r="E113" s="426"/>
      <c r="F113" s="426"/>
      <c r="G113" s="426"/>
      <c r="H113" s="426"/>
      <c r="I113" s="426"/>
      <c r="J113" s="426"/>
      <c r="K113" s="426"/>
    </row>
    <row r="114" spans="1:11" ht="15" x14ac:dyDescent="0.25">
      <c r="A114" s="383" t="s">
        <v>11</v>
      </c>
      <c r="B114" s="383" t="str">
        <f t="shared" ca="1" si="1"/>
        <v/>
      </c>
      <c r="C114" s="425"/>
      <c r="D114" s="426"/>
      <c r="E114" s="426"/>
      <c r="F114" s="426"/>
      <c r="G114" s="426"/>
      <c r="H114" s="426"/>
      <c r="I114" s="426"/>
      <c r="J114" s="426"/>
      <c r="K114" s="426"/>
    </row>
    <row r="115" spans="1:11" ht="15" x14ac:dyDescent="0.25">
      <c r="A115" s="383" t="s">
        <v>12</v>
      </c>
      <c r="B115" s="383" t="str">
        <f t="shared" ca="1" si="1"/>
        <v/>
      </c>
      <c r="C115" s="383"/>
    </row>
    <row r="116" spans="1:11" ht="15" x14ac:dyDescent="0.25">
      <c r="A116" s="383" t="s">
        <v>13</v>
      </c>
      <c r="B116" s="383" t="str">
        <f t="shared" ca="1" si="1"/>
        <v/>
      </c>
      <c r="C116" s="383"/>
    </row>
    <row r="117" spans="1:11" ht="15" x14ac:dyDescent="0.25">
      <c r="A117" s="383" t="s">
        <v>14</v>
      </c>
      <c r="B117" s="383" t="str">
        <f t="shared" ca="1" si="1"/>
        <v/>
      </c>
      <c r="C117" s="383"/>
    </row>
    <row r="118" spans="1:11" ht="15" x14ac:dyDescent="0.25">
      <c r="A118" s="383" t="s">
        <v>15</v>
      </c>
      <c r="B118" s="383" t="str">
        <f t="shared" ca="1" si="1"/>
        <v/>
      </c>
      <c r="C118" s="383"/>
    </row>
    <row r="119" spans="1:11" ht="15" x14ac:dyDescent="0.25">
      <c r="A119" s="383" t="s">
        <v>16</v>
      </c>
      <c r="B119" s="383" t="str">
        <f t="shared" ca="1" si="1"/>
        <v/>
      </c>
      <c r="C119" s="383"/>
    </row>
    <row r="120" spans="1:11" ht="15" x14ac:dyDescent="0.25">
      <c r="A120" s="383" t="s">
        <v>17</v>
      </c>
      <c r="B120" s="383" t="str">
        <f t="shared" ca="1" si="1"/>
        <v/>
      </c>
      <c r="C120" s="383"/>
    </row>
    <row r="121" spans="1:11" ht="15" x14ac:dyDescent="0.25">
      <c r="A121" s="383" t="s">
        <v>18</v>
      </c>
      <c r="C121" s="383"/>
    </row>
  </sheetData>
  <sheetProtection algorithmName="SHA-512" hashValue="PMHw2Q99FotI/24cN3nhMwNlieqqNX+eo4VUvj6PEaE7mp1iYHHN0Cz3BPJ83iviNGQoi+2bn0bMtxlg0DO1KA==" saltValue="9fVxAp9+imunqtaUWhK10g==" spinCount="100000" sheet="1" objects="1" scenarios="1" autoFilter="0"/>
  <mergeCells count="16">
    <mergeCell ref="I77:J77"/>
    <mergeCell ref="B1:K1"/>
    <mergeCell ref="L1:L3"/>
    <mergeCell ref="B2:K2"/>
    <mergeCell ref="B3:K3"/>
    <mergeCell ref="B7:D7"/>
    <mergeCell ref="I6:K6"/>
    <mergeCell ref="I5:K5"/>
    <mergeCell ref="I7:K7"/>
    <mergeCell ref="I8:K8"/>
    <mergeCell ref="I76:J76"/>
    <mergeCell ref="B13:G13"/>
    <mergeCell ref="I50:J50"/>
    <mergeCell ref="I56:J56"/>
    <mergeCell ref="I59:J59"/>
    <mergeCell ref="I60:J60"/>
  </mergeCells>
  <conditionalFormatting sqref="L1:L3">
    <cfRule type="cellIs" dxfId="34" priority="1" stopIfTrue="1" operator="equal">
      <formula>"na"</formula>
    </cfRule>
  </conditionalFormatting>
  <hyperlinks>
    <hyperlink ref="B1:K1" location="Index!A1" display="Index!A1" xr:uid="{D64C9A26-D92F-4AA5-B727-CA1D2F4CDF53}"/>
    <hyperlink ref="B13" r:id="rId1" display="Financial Reporting Update for GASB 83" xr:uid="{AD1F4E88-DE30-4438-8E1A-D09A01415F00}"/>
  </hyperlinks>
  <pageMargins left="0.7" right="0.7" top="0.75" bottom="0.75" header="0.3" footer="0.3"/>
  <pageSetup orientation="portrait" r:id="rId2"/>
  <headerFooter>
    <oddFooter>&amp;R323</oddFooter>
  </headerFooter>
  <rowBreaks count="1" manualBreakCount="1">
    <brk id="6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pageSetUpPr fitToPage="1"/>
  </sheetPr>
  <dimension ref="A1:J34"/>
  <sheetViews>
    <sheetView zoomScaleNormal="100" workbookViewId="0">
      <selection sqref="A1:I1"/>
    </sheetView>
  </sheetViews>
  <sheetFormatPr defaultColWidth="9.109375" defaultRowHeight="13.2" x14ac:dyDescent="0.25"/>
  <cols>
    <col min="7" max="9" width="10.5546875" customWidth="1"/>
    <col min="10" max="10" width="4.5546875" customWidth="1"/>
  </cols>
  <sheetData>
    <row r="1" spans="1:10" ht="25.2" customHeight="1" x14ac:dyDescent="0.3">
      <c r="A1" s="847" t="str">
        <f>+Index!$A$1</f>
        <v>Office of the State Controller</v>
      </c>
      <c r="B1" s="847"/>
      <c r="C1" s="847"/>
      <c r="D1" s="847"/>
      <c r="E1" s="847"/>
      <c r="F1" s="847"/>
      <c r="G1" s="847"/>
      <c r="H1" s="847"/>
      <c r="I1" s="847"/>
      <c r="J1" s="803" t="str">
        <f>IF(Index!$B$51="na","NA","")</f>
        <v/>
      </c>
    </row>
    <row r="2" spans="1:10" ht="13.95" customHeight="1" x14ac:dyDescent="0.25">
      <c r="A2" s="972" t="str">
        <f>+Index!$A$2</f>
        <v>2022 ACFR Worksheets for Nonmajor Component Units</v>
      </c>
      <c r="B2" s="972"/>
      <c r="C2" s="972"/>
      <c r="D2" s="972"/>
      <c r="E2" s="972"/>
      <c r="F2" s="972"/>
      <c r="G2" s="972"/>
      <c r="H2" s="972"/>
      <c r="I2" s="972"/>
      <c r="J2" s="803"/>
    </row>
    <row r="3" spans="1:10" ht="15.6" x14ac:dyDescent="0.3">
      <c r="A3" s="904" t="s">
        <v>792</v>
      </c>
      <c r="B3" s="904"/>
      <c r="C3" s="904"/>
      <c r="D3" s="904"/>
      <c r="E3" s="904"/>
      <c r="F3" s="904"/>
      <c r="G3" s="904"/>
      <c r="H3" s="904"/>
      <c r="I3" s="904"/>
      <c r="J3" s="803"/>
    </row>
    <row r="4" spans="1:10" x14ac:dyDescent="0.25">
      <c r="A4" s="401"/>
      <c r="B4" s="401"/>
      <c r="C4" s="401"/>
      <c r="D4" s="401"/>
      <c r="E4" s="400"/>
      <c r="F4" s="401"/>
      <c r="G4" s="401"/>
      <c r="H4" s="401"/>
      <c r="I4" s="402"/>
    </row>
    <row r="5" spans="1:10" x14ac:dyDescent="0.25">
      <c r="A5" s="445" t="s">
        <v>780</v>
      </c>
      <c r="B5" s="401"/>
      <c r="C5" s="401"/>
      <c r="D5" s="401"/>
      <c r="E5" s="401"/>
      <c r="F5" s="401"/>
      <c r="G5" s="401"/>
      <c r="H5" s="401"/>
      <c r="I5" s="402"/>
    </row>
    <row r="6" spans="1:10" x14ac:dyDescent="0.25">
      <c r="A6" s="445" t="s">
        <v>1346</v>
      </c>
      <c r="B6" s="406"/>
      <c r="C6" s="406"/>
      <c r="D6" s="406"/>
      <c r="E6" s="406"/>
      <c r="F6" s="406"/>
      <c r="G6" s="406"/>
      <c r="H6" s="406"/>
      <c r="I6" s="402"/>
    </row>
    <row r="7" spans="1:10" x14ac:dyDescent="0.25">
      <c r="A7" s="739" t="s">
        <v>1347</v>
      </c>
      <c r="B7" s="406"/>
      <c r="C7" s="406"/>
      <c r="D7" s="406"/>
      <c r="E7" s="406"/>
      <c r="F7" s="406"/>
      <c r="G7" s="406"/>
      <c r="H7" s="406"/>
      <c r="I7" s="402"/>
    </row>
    <row r="8" spans="1:10" x14ac:dyDescent="0.25">
      <c r="A8" s="400"/>
      <c r="B8" s="404"/>
      <c r="C8" s="404"/>
      <c r="D8" s="405"/>
      <c r="E8" s="406"/>
      <c r="F8" s="407" t="s">
        <v>357</v>
      </c>
      <c r="G8" s="908" t="str">
        <f>Index!$D$10</f>
        <v>0A</v>
      </c>
      <c r="H8" s="908"/>
      <c r="I8" s="908"/>
    </row>
    <row r="9" spans="1:10" x14ac:dyDescent="0.25">
      <c r="A9" s="404"/>
      <c r="B9" s="404"/>
      <c r="C9" s="404"/>
      <c r="D9" s="404"/>
      <c r="E9" s="408"/>
      <c r="F9" s="407" t="s">
        <v>358</v>
      </c>
      <c r="G9" s="908" t="str">
        <f>Index!$D$11</f>
        <v>NC Housing Finance Agency</v>
      </c>
      <c r="H9" s="908"/>
      <c r="I9" s="908"/>
    </row>
    <row r="10" spans="1:10" x14ac:dyDescent="0.25">
      <c r="A10" s="971" t="s">
        <v>747</v>
      </c>
      <c r="B10" s="971"/>
      <c r="C10" s="409" t="s">
        <v>68</v>
      </c>
      <c r="E10" s="401"/>
      <c r="F10" s="407" t="s">
        <v>359</v>
      </c>
      <c r="G10" s="909" t="str">
        <f>CONCATENATE(Index!$D$14,"  ",Index!$D$16)</f>
        <v xml:space="preserve">  </v>
      </c>
      <c r="H10" s="909"/>
      <c r="I10" s="909"/>
    </row>
    <row r="11" spans="1:10" x14ac:dyDescent="0.25">
      <c r="A11" s="408"/>
      <c r="B11" s="408"/>
      <c r="C11" s="406"/>
      <c r="D11" s="401"/>
      <c r="E11" s="401"/>
      <c r="F11" s="407" t="s">
        <v>196</v>
      </c>
      <c r="G11" s="909">
        <f>+Index!$D$15</f>
        <v>0</v>
      </c>
      <c r="H11" s="909"/>
      <c r="I11" s="909"/>
    </row>
    <row r="12" spans="1:10" ht="13.8" thickBot="1" x14ac:dyDescent="0.3">
      <c r="A12" s="410"/>
      <c r="B12" s="410"/>
      <c r="C12" s="410"/>
      <c r="D12" s="410"/>
      <c r="E12" s="410"/>
      <c r="F12" s="410"/>
      <c r="G12" s="410"/>
      <c r="H12" s="410"/>
      <c r="I12" s="410"/>
    </row>
    <row r="13" spans="1:10" ht="13.8" x14ac:dyDescent="0.25">
      <c r="A13" s="411"/>
      <c r="B13" s="411"/>
      <c r="C13" s="411"/>
      <c r="D13" s="411"/>
      <c r="E13" s="411"/>
      <c r="F13" s="411"/>
      <c r="G13" s="411"/>
      <c r="H13" s="411"/>
      <c r="I13" s="411"/>
    </row>
    <row r="14" spans="1:10" x14ac:dyDescent="0.25">
      <c r="A14" s="412" t="s">
        <v>781</v>
      </c>
      <c r="B14" s="412"/>
      <c r="C14" s="412"/>
      <c r="D14" s="412"/>
      <c r="E14" s="412"/>
      <c r="F14" s="412"/>
      <c r="G14" s="412"/>
      <c r="H14" s="412"/>
      <c r="I14" s="412"/>
    </row>
    <row r="15" spans="1:10" x14ac:dyDescent="0.25">
      <c r="A15" s="412" t="s">
        <v>782</v>
      </c>
      <c r="B15" s="412"/>
      <c r="C15" s="412"/>
      <c r="D15" s="412"/>
      <c r="E15" s="412"/>
      <c r="F15" s="412"/>
      <c r="G15" s="412"/>
      <c r="H15" s="412"/>
      <c r="I15" s="412"/>
    </row>
    <row r="16" spans="1:10" x14ac:dyDescent="0.25">
      <c r="A16" s="412"/>
      <c r="B16" s="412"/>
      <c r="C16" s="412"/>
      <c r="D16" s="412"/>
      <c r="E16" s="412"/>
      <c r="F16" s="412"/>
      <c r="G16" s="412"/>
      <c r="H16" s="412"/>
      <c r="I16" s="412"/>
    </row>
    <row r="17" spans="1:9" x14ac:dyDescent="0.25">
      <c r="A17" s="412" t="s">
        <v>783</v>
      </c>
      <c r="B17" s="416"/>
      <c r="C17" s="404"/>
      <c r="D17" s="404"/>
      <c r="E17" s="404"/>
      <c r="F17" s="404"/>
      <c r="G17" s="404"/>
      <c r="H17" s="404"/>
      <c r="I17" s="404"/>
    </row>
    <row r="18" spans="1:9" x14ac:dyDescent="0.25">
      <c r="A18" s="412" t="s">
        <v>784</v>
      </c>
      <c r="B18" s="416"/>
      <c r="C18" s="404"/>
      <c r="D18" s="404"/>
      <c r="E18" s="404"/>
      <c r="F18" s="404"/>
      <c r="G18" s="404"/>
      <c r="H18" s="404"/>
      <c r="I18" s="404"/>
    </row>
    <row r="19" spans="1:9" x14ac:dyDescent="0.25">
      <c r="A19" s="412" t="s">
        <v>785</v>
      </c>
      <c r="B19" s="416"/>
      <c r="C19" s="404"/>
      <c r="D19" s="404"/>
      <c r="E19" s="404"/>
      <c r="F19" s="404"/>
      <c r="G19" s="404"/>
      <c r="H19" s="404"/>
      <c r="I19" s="404"/>
    </row>
    <row r="20" spans="1:9" x14ac:dyDescent="0.25">
      <c r="A20" s="404" t="s">
        <v>786</v>
      </c>
      <c r="B20" s="412"/>
      <c r="C20" s="412"/>
      <c r="D20" s="5"/>
      <c r="E20" s="5"/>
      <c r="F20" s="5"/>
      <c r="G20" s="5"/>
      <c r="H20" s="5"/>
      <c r="I20" s="5"/>
    </row>
    <row r="21" spans="1:9" x14ac:dyDescent="0.25">
      <c r="A21" s="404" t="s">
        <v>787</v>
      </c>
      <c r="B21" s="412"/>
      <c r="C21" s="412"/>
      <c r="D21" s="5"/>
      <c r="E21" s="5"/>
      <c r="F21" s="5"/>
      <c r="G21" s="5"/>
      <c r="H21" s="5"/>
      <c r="I21" s="5"/>
    </row>
    <row r="22" spans="1:9" x14ac:dyDescent="0.25">
      <c r="A22" s="404"/>
      <c r="B22" s="412"/>
      <c r="C22" s="412"/>
      <c r="D22" s="5"/>
      <c r="E22" s="5"/>
      <c r="F22" s="5"/>
      <c r="G22" s="5"/>
      <c r="H22" s="5"/>
      <c r="I22" s="5"/>
    </row>
    <row r="23" spans="1:9" x14ac:dyDescent="0.25">
      <c r="A23" s="412" t="s">
        <v>788</v>
      </c>
      <c r="B23" s="404"/>
      <c r="C23" s="412"/>
      <c r="D23" s="5"/>
      <c r="E23" s="5"/>
      <c r="F23" s="5"/>
      <c r="G23" s="5"/>
      <c r="H23" s="5"/>
      <c r="I23" s="5"/>
    </row>
    <row r="24" spans="1:9" x14ac:dyDescent="0.25">
      <c r="A24" s="969" t="s">
        <v>789</v>
      </c>
      <c r="B24" s="970"/>
      <c r="C24" s="970"/>
      <c r="D24" s="970"/>
      <c r="E24" s="5"/>
      <c r="F24" s="5"/>
      <c r="G24" s="5"/>
      <c r="H24" s="5"/>
      <c r="I24" s="5"/>
    </row>
    <row r="25" spans="1:9" x14ac:dyDescent="0.25">
      <c r="A25" s="412"/>
      <c r="B25" s="404"/>
      <c r="C25" s="412"/>
      <c r="D25" s="5"/>
      <c r="E25" s="5"/>
      <c r="F25" s="5"/>
      <c r="G25" s="5"/>
      <c r="H25" s="5"/>
      <c r="I25" s="5"/>
    </row>
    <row r="26" spans="1:9" x14ac:dyDescent="0.25">
      <c r="A26" s="412" t="s">
        <v>790</v>
      </c>
      <c r="B26" s="416"/>
      <c r="C26" s="404"/>
      <c r="D26" s="404"/>
      <c r="E26" s="404"/>
      <c r="F26" s="404"/>
      <c r="G26" s="404"/>
      <c r="H26" s="404"/>
      <c r="I26" s="404"/>
    </row>
    <row r="27" spans="1:9" x14ac:dyDescent="0.25">
      <c r="A27" s="416"/>
      <c r="B27" s="416"/>
      <c r="C27" s="421" t="s">
        <v>771</v>
      </c>
      <c r="D27" s="422"/>
      <c r="E27" s="404"/>
      <c r="F27" s="404"/>
      <c r="G27" s="404"/>
      <c r="H27" s="404"/>
      <c r="I27" s="404"/>
    </row>
    <row r="28" spans="1:9" x14ac:dyDescent="0.25">
      <c r="A28" s="416"/>
      <c r="B28" s="416"/>
      <c r="C28" s="421" t="s">
        <v>772</v>
      </c>
      <c r="D28" s="570"/>
      <c r="E28" s="404"/>
      <c r="F28" s="404"/>
      <c r="G28" s="404"/>
      <c r="H28" s="404"/>
      <c r="I28" s="404"/>
    </row>
    <row r="29" spans="1:9" x14ac:dyDescent="0.25">
      <c r="A29" s="416"/>
      <c r="B29" s="416"/>
      <c r="C29" s="404"/>
      <c r="D29" s="404"/>
      <c r="E29" s="404"/>
      <c r="F29" s="404"/>
      <c r="G29" s="404"/>
      <c r="H29" s="404"/>
      <c r="I29" s="404"/>
    </row>
    <row r="30" spans="1:9" ht="15.6" x14ac:dyDescent="0.3">
      <c r="A30" s="404"/>
      <c r="B30" s="416"/>
      <c r="C30" s="415"/>
      <c r="D30" s="415"/>
      <c r="E30" s="404"/>
      <c r="F30" s="404"/>
      <c r="G30" s="404"/>
      <c r="H30" s="404"/>
      <c r="I30" s="404"/>
    </row>
    <row r="31" spans="1:9" ht="15.6" x14ac:dyDescent="0.3">
      <c r="A31" s="423" t="s">
        <v>773</v>
      </c>
      <c r="B31" s="416"/>
      <c r="C31" s="415"/>
      <c r="D31" s="415"/>
      <c r="E31" s="404"/>
      <c r="F31" s="404"/>
      <c r="G31" s="404"/>
      <c r="H31" s="404"/>
      <c r="I31" s="404"/>
    </row>
    <row r="32" spans="1:9" x14ac:dyDescent="0.25">
      <c r="A32" s="412" t="s">
        <v>791</v>
      </c>
      <c r="B32" s="416"/>
      <c r="C32" s="404"/>
      <c r="D32" s="404"/>
      <c r="E32" s="404"/>
      <c r="F32" s="404"/>
      <c r="G32" s="404"/>
      <c r="H32" s="404"/>
      <c r="I32" s="404"/>
    </row>
    <row r="33" spans="1:9" x14ac:dyDescent="0.25">
      <c r="A33" s="725" t="s">
        <v>1283</v>
      </c>
      <c r="B33" s="404"/>
      <c r="C33" s="404"/>
      <c r="D33" s="404"/>
      <c r="E33" s="404"/>
      <c r="F33" s="404"/>
      <c r="G33" s="404"/>
      <c r="H33" s="404"/>
      <c r="I33" s="404"/>
    </row>
    <row r="34" spans="1:9" x14ac:dyDescent="0.25">
      <c r="A34" s="416"/>
      <c r="B34" s="416"/>
      <c r="C34" s="404"/>
      <c r="D34" s="404"/>
      <c r="E34" s="404"/>
      <c r="F34" s="404"/>
      <c r="G34" s="404"/>
      <c r="H34" s="404"/>
      <c r="I34" s="404"/>
    </row>
  </sheetData>
  <sheetProtection algorithmName="SHA-512" hashValue="YPQ5zh5gmy/UD70l4AFCX5aCGKEGpqMvn55a/9nyPHrntNnfpSFkAf543Cwa9wknMNwqvMITOtqvCXRneYDbwg==" saltValue="/BXZ/8sTANym4pVb25kYwQ==" spinCount="100000" sheet="1" objects="1" scenarios="1" autoFilter="0"/>
  <mergeCells count="9">
    <mergeCell ref="A24:D24"/>
    <mergeCell ref="G11:I11"/>
    <mergeCell ref="A10:B10"/>
    <mergeCell ref="A1:I1"/>
    <mergeCell ref="A2:I2"/>
    <mergeCell ref="A3:I3"/>
    <mergeCell ref="G8:I8"/>
    <mergeCell ref="G9:I9"/>
    <mergeCell ref="G10:I10"/>
  </mergeCells>
  <conditionalFormatting sqref="J1:J3">
    <cfRule type="cellIs" dxfId="33" priority="1" stopIfTrue="1" operator="equal">
      <formula>"na"</formula>
    </cfRule>
  </conditionalFormatting>
  <hyperlinks>
    <hyperlink ref="A24" r:id="rId1" xr:uid="{00000000-0004-0000-0A00-000000000000}"/>
    <hyperlink ref="A1:I1" location="Index!A1" display="Index!A1" xr:uid="{00000000-0004-0000-0A00-000001000000}"/>
    <hyperlink ref="A24:D24" r:id="rId2" display="Financial Reporting Update GASB 70" xr:uid="{00000000-0004-0000-0A00-000002000000}"/>
  </hyperlinks>
  <pageMargins left="0.95" right="0.7" top="0.5" bottom="0.5" header="0.3" footer="0.3"/>
  <pageSetup scale="98" orientation="portrait" r:id="rId3"/>
  <headerFooter>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L103"/>
  <sheetViews>
    <sheetView showGridLines="0" topLeftCell="B1" zoomScaleNormal="100" workbookViewId="0">
      <selection activeCell="K53" sqref="K53"/>
    </sheetView>
  </sheetViews>
  <sheetFormatPr defaultRowHeight="13.2" x14ac:dyDescent="0.25"/>
  <cols>
    <col min="1" max="1" width="0" hidden="1" customWidth="1"/>
    <col min="3" max="3" width="8.44140625" customWidth="1"/>
    <col min="6" max="6" width="3.109375" customWidth="1"/>
    <col min="7" max="7" width="13.44140625" customWidth="1"/>
    <col min="8" max="8" width="12.5546875" customWidth="1"/>
    <col min="10" max="10" width="13.109375" customWidth="1"/>
    <col min="11" max="11" width="9.88671875" customWidth="1"/>
    <col min="12" max="12" width="4.5546875" customWidth="1"/>
  </cols>
  <sheetData>
    <row r="1" spans="2:12" ht="15" customHeight="1" x14ac:dyDescent="0.3">
      <c r="B1" s="854" t="str">
        <f>+Index!$A$1</f>
        <v>Office of the State Controller</v>
      </c>
      <c r="C1" s="854"/>
      <c r="D1" s="854"/>
      <c r="E1" s="854"/>
      <c r="F1" s="854"/>
      <c r="G1" s="854"/>
      <c r="H1" s="854"/>
      <c r="I1" s="854"/>
      <c r="J1" s="854"/>
      <c r="K1" s="854"/>
      <c r="L1" s="980"/>
    </row>
    <row r="2" spans="2:12" ht="15" customHeight="1" x14ac:dyDescent="0.25">
      <c r="B2" s="884" t="str">
        <f>+Index!$A$2</f>
        <v>2022 ACFR Worksheets for Nonmajor Component Units</v>
      </c>
      <c r="C2" s="884"/>
      <c r="D2" s="884"/>
      <c r="E2" s="884"/>
      <c r="F2" s="884"/>
      <c r="G2" s="884"/>
      <c r="H2" s="884"/>
      <c r="I2" s="884"/>
      <c r="J2" s="884"/>
      <c r="K2" s="884"/>
      <c r="L2" s="980"/>
    </row>
    <row r="3" spans="2:12" ht="15" customHeight="1" x14ac:dyDescent="0.3">
      <c r="B3" s="844" t="s">
        <v>667</v>
      </c>
      <c r="C3" s="844"/>
      <c r="D3" s="844"/>
      <c r="E3" s="844"/>
      <c r="F3" s="844"/>
      <c r="G3" s="844"/>
      <c r="H3" s="844"/>
      <c r="I3" s="844"/>
      <c r="J3" s="844"/>
      <c r="K3" s="844"/>
      <c r="L3" s="980"/>
    </row>
    <row r="4" spans="2:12" ht="15" customHeight="1" x14ac:dyDescent="0.4">
      <c r="H4" s="22" t="s">
        <v>19</v>
      </c>
    </row>
    <row r="5" spans="2:12" ht="15" customHeight="1" x14ac:dyDescent="0.3">
      <c r="B5" s="23"/>
      <c r="C5" s="24"/>
      <c r="D5" s="981"/>
      <c r="E5" s="981"/>
      <c r="G5" s="25" t="s">
        <v>357</v>
      </c>
      <c r="H5" s="908" t="str">
        <f>Index!$D$10</f>
        <v>0A</v>
      </c>
      <c r="I5" s="908"/>
      <c r="J5" s="908"/>
      <c r="K5" s="908"/>
    </row>
    <row r="6" spans="2:12" ht="15" customHeight="1" x14ac:dyDescent="0.25">
      <c r="G6" s="25" t="s">
        <v>358</v>
      </c>
      <c r="H6" s="908" t="str">
        <f>Index!$D$11</f>
        <v>NC Housing Finance Agency</v>
      </c>
      <c r="I6" s="908"/>
      <c r="J6" s="908"/>
      <c r="K6" s="908"/>
    </row>
    <row r="7" spans="2:12" ht="15" customHeight="1" x14ac:dyDescent="0.3">
      <c r="B7" s="23" t="s">
        <v>20</v>
      </c>
      <c r="C7" s="24"/>
      <c r="D7" s="982" t="s">
        <v>21</v>
      </c>
      <c r="E7" s="982"/>
      <c r="G7" s="25" t="s">
        <v>359</v>
      </c>
      <c r="H7" s="899" t="str">
        <f>CONCATENATE(Index!$D$14," ",Index!$D$16)</f>
        <v xml:space="preserve"> </v>
      </c>
      <c r="I7" s="899"/>
      <c r="J7" s="899"/>
      <c r="K7" s="899"/>
    </row>
    <row r="8" spans="2:12" ht="15" customHeight="1" x14ac:dyDescent="0.3">
      <c r="B8" s="23"/>
      <c r="C8" s="24"/>
      <c r="D8" s="19"/>
      <c r="E8" s="19"/>
      <c r="G8" s="237" t="s">
        <v>196</v>
      </c>
      <c r="H8" s="899">
        <f>+Index!$D$15</f>
        <v>0</v>
      </c>
      <c r="I8" s="899"/>
      <c r="J8" s="899"/>
      <c r="K8" s="899"/>
    </row>
    <row r="9" spans="2:12" ht="15" customHeight="1" thickBot="1" x14ac:dyDescent="0.35">
      <c r="B9" s="26"/>
      <c r="C9" s="26"/>
      <c r="D9" s="26"/>
      <c r="E9" s="26"/>
      <c r="F9" s="26"/>
      <c r="G9" s="26"/>
      <c r="H9" s="26"/>
      <c r="I9" s="26"/>
      <c r="J9" s="26"/>
      <c r="K9" s="26"/>
    </row>
    <row r="10" spans="2:12" s="5" customFormat="1" ht="15" customHeight="1" x14ac:dyDescent="0.25">
      <c r="B10" s="27"/>
      <c r="C10" s="27"/>
      <c r="D10" s="27"/>
      <c r="E10" s="27"/>
      <c r="F10" s="27"/>
      <c r="G10" s="27"/>
      <c r="H10" s="27"/>
      <c r="I10" s="27"/>
      <c r="J10" s="27"/>
      <c r="K10" s="27"/>
    </row>
    <row r="11" spans="2:12" s="5" customFormat="1" ht="15" customHeight="1" x14ac:dyDescent="0.25">
      <c r="B11" s="1" t="s">
        <v>1081</v>
      </c>
    </row>
    <row r="12" spans="2:12" s="5" customFormat="1" ht="15" customHeight="1" x14ac:dyDescent="0.25">
      <c r="B12" s="1" t="s">
        <v>1082</v>
      </c>
    </row>
    <row r="13" spans="2:12" s="5" customFormat="1" ht="15" customHeight="1" x14ac:dyDescent="0.25">
      <c r="B13" s="1" t="s">
        <v>22</v>
      </c>
    </row>
    <row r="14" spans="2:12" s="5" customFormat="1" ht="15" customHeight="1" x14ac:dyDescent="0.25"/>
    <row r="15" spans="2:12" s="5" customFormat="1" ht="15" customHeight="1" x14ac:dyDescent="0.25">
      <c r="B15" s="5" t="s">
        <v>1179</v>
      </c>
    </row>
    <row r="16" spans="2:12" s="5" customFormat="1" ht="15" customHeight="1" x14ac:dyDescent="0.25">
      <c r="B16" s="5" t="s">
        <v>1180</v>
      </c>
    </row>
    <row r="17" spans="2:10" s="5" customFormat="1" ht="15" customHeight="1" x14ac:dyDescent="0.25">
      <c r="B17" s="610" t="s">
        <v>1181</v>
      </c>
    </row>
    <row r="18" spans="2:10" s="609" customFormat="1" ht="15" customHeight="1" x14ac:dyDescent="0.25">
      <c r="B18" s="611" t="s">
        <v>1182</v>
      </c>
    </row>
    <row r="19" spans="2:10" s="5" customFormat="1" ht="15" customHeight="1" x14ac:dyDescent="0.25">
      <c r="B19" s="5" t="s">
        <v>23</v>
      </c>
    </row>
    <row r="20" spans="2:10" s="5" customFormat="1" ht="15" customHeight="1" x14ac:dyDescent="0.25"/>
    <row r="21" spans="2:10" s="5" customFormat="1" ht="15" customHeight="1" x14ac:dyDescent="0.25">
      <c r="B21" s="855" t="s">
        <v>24</v>
      </c>
      <c r="C21" s="855"/>
      <c r="D21" s="855"/>
      <c r="E21" s="855"/>
      <c r="F21" s="855"/>
      <c r="G21" s="855"/>
      <c r="H21" s="855"/>
      <c r="I21" s="855"/>
      <c r="J21" s="855"/>
    </row>
    <row r="22" spans="2:10" s="5" customFormat="1" ht="15" customHeight="1" x14ac:dyDescent="0.25">
      <c r="B22" s="5" t="s">
        <v>25</v>
      </c>
    </row>
    <row r="23" spans="2:10" s="5" customFormat="1" ht="15" customHeight="1" x14ac:dyDescent="0.25">
      <c r="B23" s="5" t="s">
        <v>26</v>
      </c>
    </row>
    <row r="24" spans="2:10" s="5" customFormat="1" ht="15" customHeight="1" x14ac:dyDescent="0.25"/>
    <row r="25" spans="2:10" s="5" customFormat="1" ht="15" customHeight="1" x14ac:dyDescent="0.25">
      <c r="B25" s="5" t="s">
        <v>27</v>
      </c>
    </row>
    <row r="26" spans="2:10" s="5" customFormat="1" ht="15" customHeight="1" x14ac:dyDescent="0.25">
      <c r="B26" s="5" t="s">
        <v>44</v>
      </c>
    </row>
    <row r="27" spans="2:10" s="5" customFormat="1" ht="15" customHeight="1" x14ac:dyDescent="0.25"/>
    <row r="28" spans="2:10" s="5" customFormat="1" ht="15" customHeight="1" x14ac:dyDescent="0.25">
      <c r="B28" s="1" t="s">
        <v>28</v>
      </c>
    </row>
    <row r="29" spans="2:10" s="5" customFormat="1" ht="15" customHeight="1" x14ac:dyDescent="0.25">
      <c r="B29" s="5" t="s">
        <v>29</v>
      </c>
    </row>
    <row r="30" spans="2:10" s="5" customFormat="1" ht="15" customHeight="1" x14ac:dyDescent="0.25">
      <c r="E30" s="5" t="s">
        <v>30</v>
      </c>
      <c r="F30" s="975"/>
      <c r="G30" s="976"/>
      <c r="H30" s="29" t="s">
        <v>31</v>
      </c>
      <c r="I30" s="975"/>
      <c r="J30" s="976"/>
    </row>
    <row r="31" spans="2:10" s="5" customFormat="1" ht="15" customHeight="1" x14ac:dyDescent="0.25">
      <c r="B31" s="906" t="str">
        <f>IF(ISTEXT(F30),"Response for Yes needed"," ")</f>
        <v xml:space="preserve"> </v>
      </c>
      <c r="C31" s="926"/>
      <c r="D31" s="926"/>
      <c r="G31" s="1"/>
      <c r="I31" s="985" t="str">
        <f>IF(AND(ISBLANK(F30),ISBLANK(I30))=TRUE,"Answer Missing"," ")</f>
        <v>Answer Missing</v>
      </c>
      <c r="J31" s="986"/>
    </row>
    <row r="32" spans="2:10" s="5" customFormat="1" ht="15" customHeight="1" x14ac:dyDescent="0.25">
      <c r="B32" s="5" t="s">
        <v>45</v>
      </c>
      <c r="G32" s="1"/>
      <c r="I32" s="1"/>
    </row>
    <row r="33" spans="2:11" s="5" customFormat="1" ht="15" customHeight="1" x14ac:dyDescent="0.25">
      <c r="B33" s="5" t="s">
        <v>32</v>
      </c>
    </row>
    <row r="34" spans="2:11" s="5" customFormat="1" ht="15" customHeight="1" x14ac:dyDescent="0.25">
      <c r="C34" s="5" t="s">
        <v>33</v>
      </c>
      <c r="E34" s="977"/>
      <c r="F34" s="978"/>
      <c r="G34" s="978"/>
      <c r="H34" s="978"/>
      <c r="I34" s="978"/>
      <c r="J34" s="978"/>
      <c r="K34" s="978"/>
    </row>
    <row r="35" spans="2:11" s="5" customFormat="1" ht="15" customHeight="1" x14ac:dyDescent="0.25">
      <c r="C35" s="5" t="s">
        <v>34</v>
      </c>
      <c r="E35" s="983"/>
      <c r="F35" s="984"/>
      <c r="G35" s="984"/>
      <c r="H35" s="984"/>
      <c r="I35" s="984"/>
      <c r="J35" s="984"/>
      <c r="K35" s="984"/>
    </row>
    <row r="36" spans="2:11" s="5" customFormat="1" ht="15" customHeight="1" x14ac:dyDescent="0.25">
      <c r="B36" s="30"/>
      <c r="C36" s="30"/>
      <c r="D36" s="30"/>
      <c r="E36" s="30"/>
      <c r="F36" s="30"/>
      <c r="G36" s="30"/>
      <c r="H36" s="30"/>
      <c r="I36" s="30"/>
      <c r="J36" s="30"/>
      <c r="K36" s="30"/>
    </row>
    <row r="37" spans="2:11" s="5" customFormat="1" ht="15" customHeight="1" x14ac:dyDescent="0.25">
      <c r="B37" s="855" t="s">
        <v>35</v>
      </c>
      <c r="C37" s="855"/>
      <c r="D37" s="855"/>
      <c r="E37" s="855"/>
      <c r="F37" s="855"/>
      <c r="G37" s="855"/>
      <c r="H37" s="855"/>
      <c r="I37" s="855"/>
      <c r="J37" s="855"/>
    </row>
    <row r="38" spans="2:11" s="5" customFormat="1" ht="15" customHeight="1" x14ac:dyDescent="0.25">
      <c r="B38" s="5" t="s">
        <v>36</v>
      </c>
    </row>
    <row r="39" spans="2:11" s="5" customFormat="1" ht="15" customHeight="1" x14ac:dyDescent="0.25">
      <c r="E39" s="5" t="s">
        <v>30</v>
      </c>
      <c r="F39" s="975"/>
      <c r="G39" s="976"/>
      <c r="H39" s="29" t="s">
        <v>31</v>
      </c>
      <c r="I39" s="975"/>
      <c r="J39" s="976"/>
    </row>
    <row r="40" spans="2:11" s="5" customFormat="1" ht="15" customHeight="1" x14ac:dyDescent="0.25">
      <c r="B40" s="906" t="str">
        <f>IF(ISTEXT(F39),"Response for Yes needed"," ")</f>
        <v xml:space="preserve"> </v>
      </c>
      <c r="C40" s="926"/>
      <c r="D40" s="926"/>
      <c r="G40" s="1"/>
      <c r="I40" s="985" t="str">
        <f>IF(AND(ISBLANK(F39),ISBLANK(I39))=TRUE,"Answer Missing"," ")</f>
        <v>Answer Missing</v>
      </c>
      <c r="J40" s="986"/>
    </row>
    <row r="41" spans="2:11" s="5" customFormat="1" ht="15" customHeight="1" x14ac:dyDescent="0.25">
      <c r="B41" s="5" t="s">
        <v>46</v>
      </c>
      <c r="G41" s="1"/>
      <c r="I41" s="1"/>
    </row>
    <row r="42" spans="2:11" s="5" customFormat="1" ht="15" customHeight="1" x14ac:dyDescent="0.25">
      <c r="B42" s="5" t="s">
        <v>37</v>
      </c>
      <c r="G42" s="1"/>
      <c r="I42" s="1"/>
    </row>
    <row r="43" spans="2:11" s="5" customFormat="1" ht="15" customHeight="1" x14ac:dyDescent="0.25">
      <c r="B43" s="974" t="s">
        <v>38</v>
      </c>
      <c r="C43" s="974"/>
      <c r="D43" s="977"/>
      <c r="E43" s="978"/>
      <c r="F43" s="978"/>
      <c r="G43" s="978"/>
      <c r="H43" s="29" t="s">
        <v>39</v>
      </c>
      <c r="I43" s="979"/>
      <c r="J43" s="979"/>
      <c r="K43" s="979"/>
    </row>
    <row r="44" spans="2:11" s="5" customFormat="1" ht="15" customHeight="1" x14ac:dyDescent="0.25">
      <c r="B44" s="30"/>
      <c r="C44" s="30"/>
      <c r="D44" s="30"/>
      <c r="E44" s="30"/>
      <c r="F44" s="30"/>
      <c r="G44" s="30"/>
      <c r="H44" s="30"/>
      <c r="I44" s="30"/>
      <c r="J44" s="30"/>
      <c r="K44" s="30"/>
    </row>
    <row r="45" spans="2:11" s="5" customFormat="1" ht="15" customHeight="1" x14ac:dyDescent="0.25">
      <c r="B45" s="855" t="s">
        <v>40</v>
      </c>
      <c r="C45" s="855"/>
      <c r="D45" s="855"/>
      <c r="E45" s="855"/>
      <c r="F45" s="855"/>
      <c r="G45" s="855"/>
      <c r="H45" s="855"/>
      <c r="I45" s="855"/>
      <c r="J45" s="855"/>
    </row>
    <row r="46" spans="2:11" s="5" customFormat="1" ht="15" customHeight="1" x14ac:dyDescent="0.25">
      <c r="B46" s="5" t="s">
        <v>41</v>
      </c>
      <c r="G46" s="1"/>
      <c r="I46" s="1"/>
    </row>
    <row r="47" spans="2:11" s="5" customFormat="1" ht="15" customHeight="1" x14ac:dyDescent="0.25">
      <c r="B47" s="12" t="s">
        <v>1266</v>
      </c>
      <c r="G47" s="1"/>
      <c r="I47" s="1"/>
    </row>
    <row r="48" spans="2:11" s="5" customFormat="1" ht="15" customHeight="1" x14ac:dyDescent="0.25">
      <c r="B48" s="974"/>
      <c r="C48" s="974"/>
      <c r="D48" s="527"/>
      <c r="E48" s="527"/>
      <c r="F48" s="527"/>
      <c r="G48" s="528"/>
      <c r="H48" s="527"/>
      <c r="I48" s="528"/>
      <c r="J48" s="527"/>
      <c r="K48" s="527"/>
    </row>
    <row r="49" spans="1:11" s="5" customFormat="1" ht="15" customHeight="1" x14ac:dyDescent="0.25">
      <c r="B49" s="1"/>
      <c r="C49" s="1"/>
      <c r="D49" s="1"/>
      <c r="E49" s="1"/>
      <c r="F49" s="1"/>
      <c r="G49" s="1"/>
      <c r="H49" s="1"/>
      <c r="I49" s="1"/>
      <c r="J49" s="1"/>
      <c r="K49" s="1"/>
    </row>
    <row r="50" spans="1:11" s="5" customFormat="1" ht="15" customHeight="1" x14ac:dyDescent="0.25">
      <c r="B50" s="1" t="s">
        <v>42</v>
      </c>
      <c r="C50" s="31"/>
      <c r="D50" s="1"/>
      <c r="E50" s="1"/>
      <c r="F50" s="1"/>
      <c r="G50" s="1"/>
      <c r="H50" s="1"/>
      <c r="I50" s="1"/>
      <c r="J50" s="1"/>
      <c r="K50" s="1"/>
    </row>
    <row r="51" spans="1:11" s="5" customFormat="1" ht="15" customHeight="1" x14ac:dyDescent="0.25">
      <c r="B51" s="5" t="s">
        <v>47</v>
      </c>
      <c r="K51" s="5" t="s">
        <v>43</v>
      </c>
    </row>
    <row r="52" spans="1:11" s="5" customFormat="1" ht="15" customHeight="1" x14ac:dyDescent="0.25">
      <c r="B52" s="5" t="s">
        <v>48</v>
      </c>
      <c r="K52" s="777"/>
    </row>
    <row r="53" spans="1:11" s="5" customFormat="1" ht="15" customHeight="1" x14ac:dyDescent="0.25">
      <c r="B53" s="5" t="s">
        <v>49</v>
      </c>
      <c r="K53" s="28"/>
    </row>
    <row r="54" spans="1:11" s="5" customFormat="1" ht="15" customHeight="1" x14ac:dyDescent="0.25">
      <c r="B54" s="12" t="s">
        <v>1267</v>
      </c>
      <c r="J54" s="973" t="str">
        <f>IF(AND(ISBLANK(K52),ISBLANK(K53))=TRUE,"Answer Missing"," ")</f>
        <v>Answer Missing</v>
      </c>
      <c r="K54" s="926"/>
    </row>
    <row r="55" spans="1:11" s="5" customFormat="1" ht="15" customHeight="1" x14ac:dyDescent="0.25"/>
    <row r="56" spans="1:11" s="5" customFormat="1" ht="15" customHeight="1" x14ac:dyDescent="0.25"/>
    <row r="57" spans="1:11" s="5" customFormat="1" ht="15" x14ac:dyDescent="0.25">
      <c r="A57" s="20" t="str">
        <f ca="1">MID(CELL("filename",B1),FIND("]",CELL("filename",B1))+1,256)</f>
        <v>345</v>
      </c>
      <c r="B57" s="20"/>
      <c r="D57" s="20"/>
    </row>
    <row r="58" spans="1:11" s="5" customFormat="1" ht="15" x14ac:dyDescent="0.25">
      <c r="A58" s="20" t="s">
        <v>9</v>
      </c>
      <c r="B58" s="20"/>
      <c r="D58" s="20"/>
    </row>
    <row r="59" spans="1:11" s="5" customFormat="1" ht="15" x14ac:dyDescent="0.25">
      <c r="A59" s="20" t="s">
        <v>10</v>
      </c>
      <c r="B59" s="20"/>
      <c r="D59" s="20"/>
    </row>
    <row r="60" spans="1:11" s="5" customFormat="1" ht="15" x14ac:dyDescent="0.25">
      <c r="A60" s="20" t="s">
        <v>11</v>
      </c>
      <c r="B60" s="20"/>
      <c r="D60" s="20"/>
    </row>
    <row r="61" spans="1:11" s="5" customFormat="1" ht="15" x14ac:dyDescent="0.25">
      <c r="A61" s="20" t="s">
        <v>12</v>
      </c>
      <c r="B61" s="20"/>
      <c r="D61" s="20"/>
    </row>
    <row r="62" spans="1:11" s="5" customFormat="1" ht="15" x14ac:dyDescent="0.25">
      <c r="A62" s="20" t="s">
        <v>13</v>
      </c>
      <c r="B62" s="20"/>
      <c r="D62" s="20"/>
    </row>
    <row r="63" spans="1:11" s="5" customFormat="1" ht="15" x14ac:dyDescent="0.25">
      <c r="A63" s="20" t="s">
        <v>14</v>
      </c>
      <c r="B63" s="20"/>
      <c r="D63" s="20"/>
    </row>
    <row r="64" spans="1:11" s="5" customFormat="1" ht="15" x14ac:dyDescent="0.25">
      <c r="A64" s="20" t="s">
        <v>15</v>
      </c>
      <c r="B64" s="20"/>
      <c r="D64" s="20"/>
    </row>
    <row r="65" spans="1:4" s="5" customFormat="1" ht="15.9" customHeight="1" x14ac:dyDescent="0.25">
      <c r="A65" s="20" t="s">
        <v>16</v>
      </c>
      <c r="B65" s="20"/>
      <c r="D65" s="20"/>
    </row>
    <row r="66" spans="1:4" s="5" customFormat="1" ht="15" x14ac:dyDescent="0.25">
      <c r="A66" s="20" t="s">
        <v>17</v>
      </c>
      <c r="B66" s="20"/>
      <c r="D66" s="20"/>
    </row>
    <row r="67" spans="1:4" s="5" customFormat="1" ht="15" x14ac:dyDescent="0.25">
      <c r="A67" s="20" t="s">
        <v>18</v>
      </c>
      <c r="B67" s="20"/>
      <c r="D67" s="20"/>
    </row>
    <row r="68" spans="1:4" s="5" customFormat="1" ht="9.9" customHeight="1" x14ac:dyDescent="0.25"/>
    <row r="69" spans="1:4" s="5" customFormat="1" x14ac:dyDescent="0.25"/>
    <row r="70" spans="1:4" s="5" customFormat="1" x14ac:dyDescent="0.25"/>
    <row r="71" spans="1:4" s="5" customFormat="1" ht="6" customHeight="1" x14ac:dyDescent="0.25"/>
    <row r="72" spans="1:4" s="5" customFormat="1" ht="12.75" customHeight="1" x14ac:dyDescent="0.25"/>
    <row r="73" spans="1:4" s="5" customFormat="1" x14ac:dyDescent="0.25"/>
    <row r="76" spans="1:4" ht="9.9" customHeight="1" x14ac:dyDescent="0.25"/>
    <row r="77" spans="1:4" ht="12.75" customHeight="1" x14ac:dyDescent="0.25"/>
    <row r="79" spans="1:4" ht="15.9" customHeight="1" x14ac:dyDescent="0.25"/>
    <row r="80" spans="1:4" ht="6" customHeight="1" x14ac:dyDescent="0.25"/>
    <row r="82" ht="6" customHeight="1" x14ac:dyDescent="0.25"/>
    <row r="83" ht="9.9" customHeight="1" x14ac:dyDescent="0.25"/>
    <row r="84" ht="9.9" customHeight="1" x14ac:dyDescent="0.25"/>
    <row r="85" ht="9.9" customHeight="1" x14ac:dyDescent="0.25"/>
    <row r="86" ht="9.9" customHeight="1" x14ac:dyDescent="0.25"/>
    <row r="87" ht="9.9" customHeight="1" x14ac:dyDescent="0.25"/>
    <row r="88" ht="9.9" customHeight="1" x14ac:dyDescent="0.25"/>
    <row r="89" ht="9.9" customHeight="1" x14ac:dyDescent="0.25"/>
    <row r="90" ht="9.9" customHeight="1" x14ac:dyDescent="0.25"/>
    <row r="91" ht="9.9" customHeight="1" x14ac:dyDescent="0.25"/>
    <row r="92" ht="6" customHeight="1" x14ac:dyDescent="0.25"/>
    <row r="93" ht="9.9" customHeight="1" x14ac:dyDescent="0.25"/>
    <row r="94" ht="9.9" customHeight="1" x14ac:dyDescent="0.25"/>
    <row r="95" ht="9.9" customHeight="1" x14ac:dyDescent="0.25"/>
    <row r="96" ht="9.9" customHeight="1" x14ac:dyDescent="0.25"/>
    <row r="97" ht="9.9" customHeight="1" x14ac:dyDescent="0.25"/>
    <row r="98" ht="6" customHeight="1" x14ac:dyDescent="0.25"/>
    <row r="99" ht="9.9" customHeight="1" x14ac:dyDescent="0.25"/>
    <row r="100" ht="6" customHeight="1" x14ac:dyDescent="0.25"/>
    <row r="103" ht="9.9" customHeight="1" x14ac:dyDescent="0.25"/>
  </sheetData>
  <sheetProtection algorithmName="SHA-512" hashValue="uYMKIBE1EVe+Be8J224oeb0aY8uy7Bti4FGYEURmNq04zwupUtaOPKzul/xn2pGXldXXdJaatkMT8EcBky7cjA==" saltValue="+mBJWU988qqRRlfC+cuURQ==" spinCount="100000" sheet="1" objects="1" scenarios="1" autoFilter="0"/>
  <mergeCells count="28">
    <mergeCell ref="E35:K35"/>
    <mergeCell ref="I40:J40"/>
    <mergeCell ref="E34:K34"/>
    <mergeCell ref="I31:J31"/>
    <mergeCell ref="B31:D31"/>
    <mergeCell ref="L1:L3"/>
    <mergeCell ref="B1:K1"/>
    <mergeCell ref="B2:K2"/>
    <mergeCell ref="B3:K3"/>
    <mergeCell ref="I30:J30"/>
    <mergeCell ref="H6:K6"/>
    <mergeCell ref="B21:J21"/>
    <mergeCell ref="D5:E5"/>
    <mergeCell ref="D7:E7"/>
    <mergeCell ref="F30:G30"/>
    <mergeCell ref="H7:K7"/>
    <mergeCell ref="H8:K8"/>
    <mergeCell ref="H5:K5"/>
    <mergeCell ref="J54:K54"/>
    <mergeCell ref="B48:C48"/>
    <mergeCell ref="B45:J45"/>
    <mergeCell ref="F39:G39"/>
    <mergeCell ref="B37:J37"/>
    <mergeCell ref="B43:C43"/>
    <mergeCell ref="I39:J39"/>
    <mergeCell ref="D43:G43"/>
    <mergeCell ref="I43:K43"/>
    <mergeCell ref="B40:D40"/>
  </mergeCells>
  <phoneticPr fontId="12" type="noConversion"/>
  <conditionalFormatting sqref="L1:L3">
    <cfRule type="cellIs" dxfId="32" priority="6" stopIfTrue="1" operator="equal">
      <formula>"na"</formula>
    </cfRule>
  </conditionalFormatting>
  <conditionalFormatting sqref="I31">
    <cfRule type="containsText" dxfId="31" priority="5" stopIfTrue="1" operator="containsText" text="Answer Missing">
      <formula>NOT(ISERROR(SEARCH("Answer Missing",I31)))</formula>
    </cfRule>
  </conditionalFormatting>
  <conditionalFormatting sqref="B31:D31">
    <cfRule type="containsText" dxfId="30" priority="4" stopIfTrue="1" operator="containsText" text="Response for Yes needed">
      <formula>NOT(ISERROR(SEARCH("Response for Yes needed",B31)))</formula>
    </cfRule>
  </conditionalFormatting>
  <conditionalFormatting sqref="I40">
    <cfRule type="containsText" dxfId="29" priority="3" stopIfTrue="1" operator="containsText" text="Answer Missing">
      <formula>NOT(ISERROR(SEARCH("Answer Missing",I40)))</formula>
    </cfRule>
  </conditionalFormatting>
  <conditionalFormatting sqref="B40:D40">
    <cfRule type="containsText" dxfId="28" priority="2" stopIfTrue="1" operator="containsText" text="Response for Yes needed">
      <formula>NOT(ISERROR(SEARCH("Response for Yes needed",B40)))</formula>
    </cfRule>
  </conditionalFormatting>
  <conditionalFormatting sqref="J54">
    <cfRule type="containsText" dxfId="27" priority="1" stopIfTrue="1" operator="containsText" text="Answer Missing">
      <formula>NOT(ISERROR(SEARCH("Answer Missing",J54)))</formula>
    </cfRule>
  </conditionalFormatting>
  <hyperlinks>
    <hyperlink ref="B1:K1" location="Index!A1" display="Index!A1" xr:uid="{00000000-0004-0000-0B00-000000000000}"/>
  </hyperlinks>
  <pageMargins left="0.95" right="0.45" top="0.5" bottom="0.5" header="0.3" footer="0.3"/>
  <pageSetup scale="89" orientation="portrait" r:id="rId1"/>
  <headerFooter>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pageSetUpPr fitToPage="1"/>
  </sheetPr>
  <dimension ref="A1:O115"/>
  <sheetViews>
    <sheetView showGridLines="0" topLeftCell="B1" zoomScaleNormal="100" workbookViewId="0">
      <selection activeCell="C31" sqref="C31"/>
    </sheetView>
  </sheetViews>
  <sheetFormatPr defaultColWidth="9.109375" defaultRowHeight="13.2" x14ac:dyDescent="0.25"/>
  <cols>
    <col min="1" max="1" width="8" hidden="1" customWidth="1"/>
    <col min="3" max="3" width="8.44140625" customWidth="1"/>
    <col min="6" max="7" width="3.5546875" customWidth="1"/>
    <col min="8" max="8" width="1.5546875" customWidth="1"/>
    <col min="9" max="9" width="13.44140625" customWidth="1"/>
    <col min="10" max="10" width="12.5546875" customWidth="1"/>
    <col min="12" max="12" width="9.5546875" customWidth="1"/>
    <col min="13" max="13" width="4.5546875" customWidth="1"/>
  </cols>
  <sheetData>
    <row r="1" spans="2:14" s="2" customFormat="1" ht="15" customHeight="1" x14ac:dyDescent="0.3">
      <c r="B1" s="854" t="str">
        <f>+Index!$A$1</f>
        <v>Office of the State Controller</v>
      </c>
      <c r="C1" s="854"/>
      <c r="D1" s="854"/>
      <c r="E1" s="854"/>
      <c r="F1" s="854"/>
      <c r="G1" s="854"/>
      <c r="H1" s="854"/>
      <c r="I1" s="854"/>
      <c r="J1" s="854"/>
      <c r="K1" s="854"/>
      <c r="L1" s="854"/>
      <c r="M1" s="980"/>
    </row>
    <row r="2" spans="2:14" s="2" customFormat="1" ht="15" customHeight="1" x14ac:dyDescent="0.25">
      <c r="B2" s="884" t="str">
        <f>+Index!$A$2</f>
        <v>2022 ACFR Worksheets for Nonmajor Component Units</v>
      </c>
      <c r="C2" s="991"/>
      <c r="D2" s="991"/>
      <c r="E2" s="991"/>
      <c r="F2" s="991"/>
      <c r="G2" s="991"/>
      <c r="H2" s="991"/>
      <c r="I2" s="991"/>
      <c r="J2" s="991"/>
      <c r="K2" s="991"/>
      <c r="L2" s="991"/>
      <c r="M2" s="980"/>
    </row>
    <row r="3" spans="2:14" s="2" customFormat="1" ht="15" customHeight="1" x14ac:dyDescent="0.3">
      <c r="B3" s="844" t="s">
        <v>668</v>
      </c>
      <c r="C3" s="992"/>
      <c r="D3" s="992"/>
      <c r="E3" s="992"/>
      <c r="F3" s="992"/>
      <c r="G3" s="992"/>
      <c r="H3" s="992"/>
      <c r="I3" s="992"/>
      <c r="J3" s="992"/>
      <c r="K3" s="992"/>
      <c r="L3" s="992"/>
      <c r="M3" s="980"/>
    </row>
    <row r="4" spans="2:14" s="5" customFormat="1" ht="15" customHeight="1" x14ac:dyDescent="0.25">
      <c r="J4" s="1" t="s">
        <v>19</v>
      </c>
    </row>
    <row r="5" spans="2:14" s="5" customFormat="1" ht="15" customHeight="1" x14ac:dyDescent="0.25">
      <c r="B5" s="23"/>
      <c r="C5" s="27"/>
      <c r="D5" s="981"/>
      <c r="E5" s="981"/>
      <c r="F5" s="19"/>
      <c r="G5" s="19"/>
      <c r="I5" s="25" t="s">
        <v>357</v>
      </c>
      <c r="J5" s="908" t="str">
        <f>Index!$D$10</f>
        <v>0A</v>
      </c>
      <c r="K5" s="908"/>
      <c r="L5" s="908"/>
      <c r="M5" s="908"/>
    </row>
    <row r="6" spans="2:14" s="5" customFormat="1" ht="15" customHeight="1" x14ac:dyDescent="0.25">
      <c r="I6" s="25" t="s">
        <v>358</v>
      </c>
      <c r="J6" s="908" t="str">
        <f>Index!$D$11</f>
        <v>NC Housing Finance Agency</v>
      </c>
      <c r="K6" s="908"/>
      <c r="L6" s="908"/>
      <c r="M6" s="908"/>
    </row>
    <row r="7" spans="2:14" s="5" customFormat="1" ht="15" customHeight="1" x14ac:dyDescent="0.25">
      <c r="B7" s="23" t="s">
        <v>20</v>
      </c>
      <c r="C7" s="27"/>
      <c r="D7" s="982" t="s">
        <v>21</v>
      </c>
      <c r="E7" s="982"/>
      <c r="F7" s="23"/>
      <c r="G7" s="23"/>
      <c r="I7" s="25" t="s">
        <v>359</v>
      </c>
      <c r="J7" s="899" t="str">
        <f>CONCATENATE(Index!$D$14," ",Index!$D$16)</f>
        <v xml:space="preserve"> </v>
      </c>
      <c r="K7" s="899"/>
      <c r="L7" s="899"/>
      <c r="M7" s="899"/>
    </row>
    <row r="8" spans="2:14" s="5" customFormat="1" ht="15" customHeight="1" x14ac:dyDescent="0.25">
      <c r="B8" s="23"/>
      <c r="C8" s="27"/>
      <c r="D8" s="19"/>
      <c r="E8" s="19"/>
      <c r="F8" s="23"/>
      <c r="G8" s="23"/>
      <c r="I8" s="237" t="s">
        <v>196</v>
      </c>
      <c r="J8" s="899">
        <f>+Index!$D$15</f>
        <v>0</v>
      </c>
      <c r="K8" s="899"/>
      <c r="L8" s="899"/>
      <c r="M8" s="899"/>
    </row>
    <row r="9" spans="2:14" s="5" customFormat="1" ht="12" customHeight="1" thickBot="1" x14ac:dyDescent="0.3">
      <c r="B9" s="32"/>
      <c r="C9" s="32"/>
      <c r="D9" s="32"/>
      <c r="E9" s="32"/>
      <c r="F9" s="32"/>
      <c r="G9" s="32"/>
      <c r="H9" s="33"/>
      <c r="I9" s="32"/>
      <c r="J9" s="32"/>
      <c r="K9" s="32"/>
      <c r="L9" s="32"/>
    </row>
    <row r="10" spans="2:14" s="5" customFormat="1" ht="12" customHeight="1" x14ac:dyDescent="0.25">
      <c r="B10" s="27"/>
      <c r="C10" s="27"/>
      <c r="D10" s="27"/>
      <c r="E10" s="27"/>
      <c r="F10" s="27"/>
      <c r="G10" s="27"/>
      <c r="I10" s="27"/>
      <c r="J10" s="27"/>
      <c r="K10" s="27"/>
      <c r="L10" s="27"/>
    </row>
    <row r="11" spans="2:14" s="5" customFormat="1" ht="15" customHeight="1" x14ac:dyDescent="0.3">
      <c r="B11" s="34" t="s">
        <v>50</v>
      </c>
    </row>
    <row r="12" spans="2:14" s="5" customFormat="1" ht="15" customHeight="1" x14ac:dyDescent="0.25">
      <c r="B12" s="12" t="s">
        <v>1060</v>
      </c>
    </row>
    <row r="13" spans="2:14" s="5" customFormat="1" ht="15" customHeight="1" x14ac:dyDescent="0.25">
      <c r="B13" s="722" t="s">
        <v>1399</v>
      </c>
    </row>
    <row r="14" spans="2:14" s="5" customFormat="1" ht="12" customHeight="1" x14ac:dyDescent="0.25">
      <c r="N14" s="443"/>
    </row>
    <row r="15" spans="2:14" s="5" customFormat="1" ht="15" customHeight="1" x14ac:dyDescent="0.25">
      <c r="B15" s="35" t="s">
        <v>1056</v>
      </c>
      <c r="H15" s="1"/>
      <c r="I15" s="1"/>
      <c r="J15" s="1"/>
      <c r="N15" s="443"/>
    </row>
    <row r="16" spans="2:14" s="5" customFormat="1" ht="15" customHeight="1" x14ac:dyDescent="0.25">
      <c r="B16" s="35" t="s">
        <v>1269</v>
      </c>
    </row>
    <row r="17" spans="2:15" s="5" customFormat="1" ht="15" customHeight="1" x14ac:dyDescent="0.25">
      <c r="B17" s="35" t="s">
        <v>739</v>
      </c>
    </row>
    <row r="18" spans="2:15" s="5" customFormat="1" ht="12" customHeight="1" x14ac:dyDescent="0.25">
      <c r="B18" s="35"/>
    </row>
    <row r="19" spans="2:15" s="5" customFormat="1" ht="15" customHeight="1" x14ac:dyDescent="0.25">
      <c r="B19" s="5" t="s">
        <v>56</v>
      </c>
    </row>
    <row r="20" spans="2:15" s="5" customFormat="1" ht="15" customHeight="1" x14ac:dyDescent="0.25">
      <c r="B20" s="5" t="s">
        <v>62</v>
      </c>
    </row>
    <row r="21" spans="2:15" s="5" customFormat="1" ht="12" customHeight="1" x14ac:dyDescent="0.25">
      <c r="O21" s="443"/>
    </row>
    <row r="22" spans="2:15" s="5" customFormat="1" ht="15" customHeight="1" x14ac:dyDescent="0.25">
      <c r="B22" s="722" t="s">
        <v>1400</v>
      </c>
      <c r="O22" s="443"/>
    </row>
    <row r="23" spans="2:15" s="5" customFormat="1" ht="15" customHeight="1" x14ac:dyDescent="0.25">
      <c r="B23" s="5" t="s">
        <v>740</v>
      </c>
      <c r="O23" s="443"/>
    </row>
    <row r="24" spans="2:15" s="5" customFormat="1" ht="15" customHeight="1" x14ac:dyDescent="0.25">
      <c r="B24" s="1" t="s">
        <v>1057</v>
      </c>
      <c r="O24" s="443"/>
    </row>
    <row r="25" spans="2:15" s="5" customFormat="1" ht="15" customHeight="1" x14ac:dyDescent="0.25">
      <c r="B25" s="444" t="s">
        <v>1270</v>
      </c>
    </row>
    <row r="26" spans="2:15" s="5" customFormat="1" ht="12" customHeight="1" x14ac:dyDescent="0.25"/>
    <row r="27" spans="2:15" s="5" customFormat="1" ht="15" customHeight="1" x14ac:dyDescent="0.25">
      <c r="B27" s="1" t="s">
        <v>28</v>
      </c>
    </row>
    <row r="28" spans="2:15" s="5" customFormat="1" ht="15" customHeight="1" x14ac:dyDescent="0.25">
      <c r="B28" s="398" t="s">
        <v>1058</v>
      </c>
      <c r="C28" s="398"/>
      <c r="D28" s="398"/>
      <c r="E28" s="398"/>
      <c r="F28" s="397"/>
      <c r="G28" s="397"/>
      <c r="H28" s="397"/>
      <c r="I28" s="397"/>
      <c r="J28" s="397"/>
      <c r="K28" s="397"/>
      <c r="L28" s="397"/>
      <c r="M28" s="397"/>
      <c r="N28" s="397"/>
    </row>
    <row r="29" spans="2:15" s="5" customFormat="1" ht="15" customHeight="1" x14ac:dyDescent="0.25">
      <c r="B29" s="398" t="s">
        <v>1271</v>
      </c>
      <c r="C29" s="398"/>
      <c r="D29" s="398"/>
      <c r="E29" s="398"/>
      <c r="F29" s="397"/>
      <c r="G29" s="397"/>
      <c r="H29" s="397"/>
      <c r="I29" s="397"/>
      <c r="J29" s="397"/>
      <c r="K29" s="397"/>
      <c r="L29" s="397"/>
      <c r="M29" s="397"/>
      <c r="N29" s="397"/>
    </row>
    <row r="30" spans="2:15" s="5" customFormat="1" ht="15" customHeight="1" x14ac:dyDescent="0.25">
      <c r="B30" s="398"/>
      <c r="C30" s="398"/>
      <c r="D30" s="398"/>
      <c r="E30" s="398"/>
      <c r="F30" s="397"/>
      <c r="G30" s="397"/>
      <c r="H30" s="397"/>
      <c r="I30" s="397"/>
      <c r="J30" s="397"/>
      <c r="K30" s="397"/>
      <c r="L30" s="397"/>
      <c r="M30" s="397"/>
      <c r="N30" s="397"/>
    </row>
    <row r="31" spans="2:15" s="5" customFormat="1" ht="15" customHeight="1" x14ac:dyDescent="0.25">
      <c r="B31" s="396" t="s">
        <v>30</v>
      </c>
      <c r="C31" s="395"/>
      <c r="D31" s="396" t="s">
        <v>31</v>
      </c>
      <c r="E31" s="395"/>
      <c r="F31" s="397"/>
      <c r="G31" s="973" t="str">
        <f>IF(AND(ISBLANK(C31),ISBLANK(E31))=TRUE,"Answer Missing"," ")</f>
        <v>Answer Missing</v>
      </c>
      <c r="H31" s="926"/>
      <c r="I31" s="926"/>
      <c r="J31" s="397"/>
      <c r="K31" s="397"/>
      <c r="L31" s="397"/>
      <c r="M31" s="397"/>
      <c r="N31" s="397"/>
    </row>
    <row r="32" spans="2:15" s="5" customFormat="1" ht="15" customHeight="1" x14ac:dyDescent="0.25">
      <c r="B32" s="396"/>
      <c r="C32" s="394"/>
      <c r="D32" s="396"/>
      <c r="E32" s="394"/>
      <c r="F32" s="397"/>
      <c r="G32" s="397"/>
      <c r="H32" s="397"/>
      <c r="I32" s="397"/>
      <c r="J32" s="397"/>
      <c r="K32" s="397"/>
      <c r="L32" s="397"/>
      <c r="M32" s="397"/>
      <c r="N32" s="397"/>
    </row>
    <row r="33" spans="2:14" s="5" customFormat="1" ht="15" customHeight="1" x14ac:dyDescent="0.25">
      <c r="B33" s="393" t="s">
        <v>1272</v>
      </c>
      <c r="C33" s="394"/>
      <c r="D33" s="396"/>
      <c r="E33" s="394"/>
      <c r="F33" s="397"/>
      <c r="G33" s="397"/>
      <c r="H33" s="397"/>
      <c r="I33" s="397"/>
      <c r="J33" s="397"/>
      <c r="K33" s="397"/>
      <c r="L33" s="397"/>
      <c r="M33" s="397"/>
      <c r="N33" s="397"/>
    </row>
    <row r="34" spans="2:14" s="5" customFormat="1" ht="15" customHeight="1" x14ac:dyDescent="0.25">
      <c r="B34" s="398" t="s">
        <v>57</v>
      </c>
      <c r="C34" s="394"/>
      <c r="D34" s="396"/>
      <c r="E34" s="394"/>
      <c r="F34" s="397"/>
      <c r="G34" s="397"/>
      <c r="H34" s="397"/>
      <c r="I34" s="397"/>
      <c r="J34" s="397"/>
      <c r="K34" s="397"/>
      <c r="L34" s="397"/>
      <c r="M34" s="397"/>
      <c r="N34" s="397"/>
    </row>
    <row r="35" spans="2:14" s="5" customFormat="1" ht="15" customHeight="1" x14ac:dyDescent="0.25">
      <c r="B35" s="1"/>
    </row>
    <row r="36" spans="2:14" s="5" customFormat="1" ht="15" customHeight="1" x14ac:dyDescent="0.25">
      <c r="B36" s="5" t="s">
        <v>1059</v>
      </c>
    </row>
    <row r="37" spans="2:14" s="5" customFormat="1" ht="15" customHeight="1" x14ac:dyDescent="0.25">
      <c r="B37" s="722" t="s">
        <v>1273</v>
      </c>
    </row>
    <row r="38" spans="2:14" s="5" customFormat="1" ht="12" customHeight="1" x14ac:dyDescent="0.25"/>
    <row r="39" spans="2:14" s="5" customFormat="1" ht="15" customHeight="1" x14ac:dyDescent="0.25">
      <c r="B39" s="36" t="s">
        <v>30</v>
      </c>
      <c r="C39" s="777"/>
      <c r="D39" s="36" t="s">
        <v>31</v>
      </c>
      <c r="E39" s="777"/>
      <c r="G39" s="973" t="str">
        <f>IF(AND(ISBLANK(C39),ISBLANK(E39))=TRUE,"Answer Missing"," ")</f>
        <v>Answer Missing</v>
      </c>
      <c r="H39" s="926"/>
      <c r="I39" s="926"/>
    </row>
    <row r="40" spans="2:14" s="5" customFormat="1" ht="12" customHeight="1" x14ac:dyDescent="0.25"/>
    <row r="41" spans="2:14" s="5" customFormat="1" ht="15" customHeight="1" x14ac:dyDescent="0.25">
      <c r="B41" s="1" t="s">
        <v>741</v>
      </c>
      <c r="C41" s="1"/>
    </row>
    <row r="42" spans="2:14" s="5" customFormat="1" ht="15" customHeight="1" x14ac:dyDescent="0.25">
      <c r="B42" s="5" t="s">
        <v>57</v>
      </c>
    </row>
    <row r="43" spans="2:14" s="5" customFormat="1" ht="15" customHeight="1" x14ac:dyDescent="0.25">
      <c r="B43" s="989" t="s">
        <v>1454</v>
      </c>
      <c r="C43" s="989"/>
      <c r="D43" s="989"/>
      <c r="E43" s="989"/>
      <c r="F43" s="989"/>
      <c r="G43" s="989"/>
      <c r="H43" s="989"/>
      <c r="I43" s="989"/>
      <c r="J43" s="989"/>
      <c r="K43" s="989"/>
      <c r="L43" s="989"/>
    </row>
    <row r="44" spans="2:14" s="5" customFormat="1" ht="15" customHeight="1" x14ac:dyDescent="0.25">
      <c r="B44" s="987"/>
      <c r="C44" s="988"/>
      <c r="D44" s="988"/>
      <c r="E44" s="988"/>
      <c r="F44" s="988"/>
      <c r="G44" s="988"/>
      <c r="H44" s="988"/>
      <c r="I44" s="988"/>
      <c r="J44" s="988"/>
      <c r="K44" s="988"/>
      <c r="L44" s="988"/>
    </row>
    <row r="45" spans="2:14" s="5" customFormat="1" ht="15" customHeight="1" x14ac:dyDescent="0.25">
      <c r="B45" s="768"/>
      <c r="C45" s="768"/>
      <c r="D45" s="768"/>
      <c r="E45" s="768"/>
      <c r="F45" s="768"/>
      <c r="G45" s="768"/>
      <c r="H45" s="768"/>
      <c r="I45" s="768"/>
      <c r="J45" s="768"/>
      <c r="K45" s="768"/>
      <c r="L45" s="768"/>
    </row>
    <row r="46" spans="2:14" s="5" customFormat="1" ht="15" customHeight="1" x14ac:dyDescent="0.3">
      <c r="B46" s="34" t="s">
        <v>58</v>
      </c>
    </row>
    <row r="47" spans="2:14" s="5" customFormat="1" ht="15" customHeight="1" x14ac:dyDescent="0.25">
      <c r="B47" s="5" t="s">
        <v>63</v>
      </c>
    </row>
    <row r="48" spans="2:14" s="5" customFormat="1" ht="15" customHeight="1" x14ac:dyDescent="0.25">
      <c r="B48" s="37" t="s">
        <v>64</v>
      </c>
    </row>
    <row r="49" spans="2:13" s="5" customFormat="1" ht="15" customHeight="1" x14ac:dyDescent="0.25">
      <c r="B49" s="5" t="s">
        <v>59</v>
      </c>
    </row>
    <row r="50" spans="2:13" s="5" customFormat="1" ht="15" customHeight="1" x14ac:dyDescent="0.25">
      <c r="B50" s="5" t="s">
        <v>60</v>
      </c>
    </row>
    <row r="51" spans="2:13" s="5" customFormat="1" ht="15" customHeight="1" x14ac:dyDescent="0.25">
      <c r="B51" s="5" t="s">
        <v>712</v>
      </c>
    </row>
    <row r="52" spans="2:13" s="5" customFormat="1" ht="15" customHeight="1" x14ac:dyDescent="0.25"/>
    <row r="53" spans="2:13" s="5" customFormat="1" ht="15" customHeight="1" x14ac:dyDescent="0.25">
      <c r="B53" s="1" t="s">
        <v>28</v>
      </c>
    </row>
    <row r="54" spans="2:13" s="5" customFormat="1" ht="15" customHeight="1" x14ac:dyDescent="0.25">
      <c r="B54" s="5" t="s">
        <v>61</v>
      </c>
      <c r="I54" s="36" t="s">
        <v>30</v>
      </c>
      <c r="J54" s="777"/>
      <c r="K54" s="36" t="s">
        <v>31</v>
      </c>
      <c r="L54" s="777"/>
    </row>
    <row r="55" spans="2:13" s="5" customFormat="1" ht="15" customHeight="1" x14ac:dyDescent="0.25">
      <c r="K55" s="973" t="str">
        <f>IF(AND(ISBLANK(J54),ISBLANK(L54))=TRUE,"Answer Missing"," ")</f>
        <v>Answer Missing</v>
      </c>
      <c r="L55" s="926"/>
      <c r="M55" s="926"/>
    </row>
    <row r="56" spans="2:13" s="5" customFormat="1" ht="15" customHeight="1" x14ac:dyDescent="0.25">
      <c r="B56" s="1" t="s">
        <v>741</v>
      </c>
      <c r="C56" s="1"/>
    </row>
    <row r="57" spans="2:13" s="5" customFormat="1" ht="15" customHeight="1" x14ac:dyDescent="0.25">
      <c r="B57" s="5" t="s">
        <v>57</v>
      </c>
    </row>
    <row r="58" spans="2:13" s="5" customFormat="1" ht="15" customHeight="1" x14ac:dyDescent="0.25">
      <c r="B58" s="989"/>
      <c r="C58" s="990"/>
      <c r="D58" s="990"/>
      <c r="E58" s="990"/>
      <c r="F58" s="990"/>
      <c r="G58" s="990"/>
      <c r="H58" s="990"/>
      <c r="I58" s="990"/>
      <c r="J58" s="990"/>
      <c r="K58" s="990"/>
      <c r="L58" s="990"/>
    </row>
    <row r="59" spans="2:13" s="5" customFormat="1" ht="15" customHeight="1" x14ac:dyDescent="0.25">
      <c r="B59" s="987"/>
      <c r="C59" s="988"/>
      <c r="D59" s="988"/>
      <c r="E59" s="988"/>
      <c r="F59" s="988"/>
      <c r="G59" s="988"/>
      <c r="H59" s="988"/>
      <c r="I59" s="988"/>
      <c r="J59" s="988"/>
      <c r="K59" s="988"/>
      <c r="L59" s="988"/>
    </row>
    <row r="60" spans="2:13" s="5" customFormat="1" ht="15" customHeight="1" x14ac:dyDescent="0.25">
      <c r="B60" s="987"/>
      <c r="C60" s="988"/>
      <c r="D60" s="988"/>
      <c r="E60" s="988"/>
      <c r="F60" s="988"/>
      <c r="G60" s="988"/>
      <c r="H60" s="988"/>
      <c r="I60" s="988"/>
      <c r="J60" s="988"/>
      <c r="K60" s="988"/>
      <c r="L60" s="988"/>
    </row>
    <row r="61" spans="2:13" s="5" customFormat="1" ht="15" customHeight="1" x14ac:dyDescent="0.25">
      <c r="B61" s="987"/>
      <c r="C61" s="988"/>
      <c r="D61" s="988"/>
      <c r="E61" s="988"/>
      <c r="F61" s="988"/>
      <c r="G61" s="988"/>
      <c r="H61" s="988"/>
      <c r="I61" s="988"/>
      <c r="J61" s="988"/>
      <c r="K61" s="988"/>
      <c r="L61" s="988"/>
    </row>
    <row r="62" spans="2:13" s="5" customFormat="1" ht="15" customHeight="1" x14ac:dyDescent="0.25">
      <c r="B62" s="20"/>
      <c r="C62" s="38"/>
    </row>
    <row r="63" spans="2:13" s="5" customFormat="1" ht="15" customHeight="1" x14ac:dyDescent="0.25">
      <c r="B63" s="20"/>
      <c r="C63" s="38"/>
    </row>
    <row r="64" spans="2:13" s="5" customFormat="1" ht="15" customHeight="1" x14ac:dyDescent="0.25">
      <c r="B64" s="20"/>
      <c r="C64" s="38"/>
    </row>
    <row r="65" spans="1:12" s="5" customFormat="1" ht="15" customHeight="1" x14ac:dyDescent="0.25">
      <c r="B65" s="20"/>
      <c r="C65" s="38"/>
    </row>
    <row r="66" spans="1:12" s="5" customFormat="1" ht="15" customHeight="1" x14ac:dyDescent="0.25">
      <c r="B66" s="20"/>
      <c r="C66" s="38"/>
    </row>
    <row r="67" spans="1:12" s="5" customFormat="1" ht="15" customHeight="1" x14ac:dyDescent="0.25">
      <c r="A67" s="38" t="str">
        <f ca="1">MID(CELL("filename",A1),FIND("]",CELL("filename",A1))+1,256)</f>
        <v>355</v>
      </c>
      <c r="B67" s="20"/>
      <c r="C67" s="38"/>
    </row>
    <row r="68" spans="1:12" s="5" customFormat="1" ht="15" customHeight="1" x14ac:dyDescent="0.25">
      <c r="A68" s="38" t="s">
        <v>9</v>
      </c>
      <c r="B68" s="20"/>
      <c r="C68" s="38"/>
    </row>
    <row r="69" spans="1:12" s="5" customFormat="1" ht="15" customHeight="1" x14ac:dyDescent="0.25">
      <c r="A69" s="38" t="s">
        <v>10</v>
      </c>
      <c r="B69" s="20"/>
      <c r="C69" s="38"/>
    </row>
    <row r="70" spans="1:12" s="5" customFormat="1" ht="15" customHeight="1" x14ac:dyDescent="0.25">
      <c r="A70" s="38" t="s">
        <v>11</v>
      </c>
      <c r="B70" s="20"/>
      <c r="C70" s="38"/>
    </row>
    <row r="71" spans="1:12" s="5" customFormat="1" ht="15" customHeight="1" x14ac:dyDescent="0.25">
      <c r="A71" s="38" t="s">
        <v>12</v>
      </c>
      <c r="B71" s="20"/>
      <c r="C71" s="38"/>
    </row>
    <row r="72" spans="1:12" s="5" customFormat="1" ht="15" customHeight="1" x14ac:dyDescent="0.25">
      <c r="A72" s="38" t="s">
        <v>13</v>
      </c>
      <c r="B72" s="20"/>
      <c r="C72" s="38"/>
      <c r="D72"/>
      <c r="E72"/>
      <c r="F72"/>
      <c r="G72"/>
      <c r="H72"/>
      <c r="I72"/>
      <c r="J72"/>
      <c r="K72"/>
      <c r="L72"/>
    </row>
    <row r="73" spans="1:12" s="5" customFormat="1" ht="15" customHeight="1" x14ac:dyDescent="0.25">
      <c r="A73" s="38" t="s">
        <v>14</v>
      </c>
      <c r="B73"/>
      <c r="C73"/>
      <c r="D73"/>
      <c r="E73"/>
      <c r="F73"/>
      <c r="G73"/>
      <c r="H73"/>
      <c r="I73"/>
      <c r="J73"/>
      <c r="K73"/>
      <c r="L73"/>
    </row>
    <row r="74" spans="1:12" s="5" customFormat="1" ht="15" customHeight="1" x14ac:dyDescent="0.25">
      <c r="A74" s="38" t="s">
        <v>15</v>
      </c>
      <c r="B74"/>
      <c r="C74"/>
      <c r="D74"/>
      <c r="E74"/>
      <c r="F74"/>
      <c r="G74"/>
      <c r="H74"/>
      <c r="I74"/>
      <c r="J74"/>
      <c r="K74"/>
      <c r="L74"/>
    </row>
    <row r="75" spans="1:12" s="5" customFormat="1" ht="15" customHeight="1" x14ac:dyDescent="0.25">
      <c r="A75" s="38" t="s">
        <v>16</v>
      </c>
      <c r="B75"/>
      <c r="C75"/>
      <c r="D75"/>
      <c r="E75"/>
      <c r="F75"/>
      <c r="G75"/>
      <c r="H75"/>
      <c r="I75"/>
      <c r="J75"/>
      <c r="K75"/>
      <c r="L75"/>
    </row>
    <row r="76" spans="1:12" s="5" customFormat="1" ht="15" customHeight="1" x14ac:dyDescent="0.25">
      <c r="A76" s="38" t="s">
        <v>17</v>
      </c>
      <c r="B76"/>
      <c r="C76"/>
      <c r="D76"/>
      <c r="E76"/>
      <c r="F76"/>
      <c r="G76"/>
      <c r="H76"/>
      <c r="I76"/>
      <c r="J76"/>
      <c r="K76"/>
      <c r="L76"/>
    </row>
    <row r="77" spans="1:12" ht="15.9" customHeight="1" x14ac:dyDescent="0.25">
      <c r="A77" s="38" t="s">
        <v>18</v>
      </c>
    </row>
    <row r="78" spans="1:12" ht="6" customHeight="1" x14ac:dyDescent="0.25"/>
    <row r="80" spans="1:12" ht="9.9" customHeight="1" x14ac:dyDescent="0.25"/>
    <row r="83" ht="6" customHeight="1" x14ac:dyDescent="0.25"/>
    <row r="84" ht="12.75" customHeight="1" x14ac:dyDescent="0.25"/>
    <row r="88" ht="9.9" customHeight="1" x14ac:dyDescent="0.25"/>
    <row r="89" ht="12.75" customHeight="1" x14ac:dyDescent="0.25"/>
    <row r="91" ht="15.9" customHeight="1" x14ac:dyDescent="0.25"/>
    <row r="92" ht="6" customHeight="1" x14ac:dyDescent="0.25"/>
    <row r="94" ht="6" customHeight="1" x14ac:dyDescent="0.25"/>
    <row r="95" ht="9.9" customHeight="1" x14ac:dyDescent="0.25"/>
    <row r="96" ht="9.9" customHeight="1" x14ac:dyDescent="0.25"/>
    <row r="97" ht="9.9" customHeight="1" x14ac:dyDescent="0.25"/>
    <row r="98" ht="9.9" customHeight="1" x14ac:dyDescent="0.25"/>
    <row r="99" ht="9.9" customHeight="1" x14ac:dyDescent="0.25"/>
    <row r="100" ht="9.9" customHeight="1" x14ac:dyDescent="0.25"/>
    <row r="101" ht="9.9" customHeight="1" x14ac:dyDescent="0.25"/>
    <row r="102" ht="9.9" customHeight="1" x14ac:dyDescent="0.25"/>
    <row r="103" ht="9.9" customHeight="1" x14ac:dyDescent="0.25"/>
    <row r="104" ht="6" customHeight="1" x14ac:dyDescent="0.25"/>
    <row r="105" ht="9.9" customHeight="1" x14ac:dyDescent="0.25"/>
    <row r="106" ht="9.9" customHeight="1" x14ac:dyDescent="0.25"/>
    <row r="107" ht="9.9" customHeight="1" x14ac:dyDescent="0.25"/>
    <row r="108" ht="9.9" customHeight="1" x14ac:dyDescent="0.25"/>
    <row r="109" ht="9.9" customHeight="1" x14ac:dyDescent="0.25"/>
    <row r="110" ht="6" customHeight="1" x14ac:dyDescent="0.25"/>
    <row r="111" ht="9.9" customHeight="1" x14ac:dyDescent="0.25"/>
    <row r="112" ht="6" customHeight="1" x14ac:dyDescent="0.25"/>
    <row r="115" ht="9.9" customHeight="1" x14ac:dyDescent="0.25"/>
  </sheetData>
  <sheetProtection algorithmName="SHA-512" hashValue="J5xiV2AaAdprqiLMT5w7oZvnDeTOCEt8/uhXm7YOslrKH+Zn5u7+epjrt7/I1ARapnN4vK5/2eK5qpSIlKN03g==" saltValue="ph4/3SwrnKuYnaMKQnJB/w==" spinCount="100000" sheet="1" autoFilter="0"/>
  <mergeCells count="19">
    <mergeCell ref="J6:M6"/>
    <mergeCell ref="J7:M7"/>
    <mergeCell ref="B43:L43"/>
    <mergeCell ref="B59:L59"/>
    <mergeCell ref="B60:L60"/>
    <mergeCell ref="B61:L61"/>
    <mergeCell ref="B44:L44"/>
    <mergeCell ref="M1:M3"/>
    <mergeCell ref="B58:L58"/>
    <mergeCell ref="B1:L1"/>
    <mergeCell ref="B2:L2"/>
    <mergeCell ref="B3:L3"/>
    <mergeCell ref="D5:E5"/>
    <mergeCell ref="D7:E7"/>
    <mergeCell ref="J8:M8"/>
    <mergeCell ref="G31:I31"/>
    <mergeCell ref="G39:I39"/>
    <mergeCell ref="K55:M55"/>
    <mergeCell ref="J5:M5"/>
  </mergeCells>
  <phoneticPr fontId="12" type="noConversion"/>
  <conditionalFormatting sqref="M1:M3">
    <cfRule type="cellIs" dxfId="26" priority="4" stopIfTrue="1" operator="equal">
      <formula>"na"</formula>
    </cfRule>
  </conditionalFormatting>
  <conditionalFormatting sqref="G31">
    <cfRule type="containsText" dxfId="25" priority="3" stopIfTrue="1" operator="containsText" text="Answer Missing">
      <formula>NOT(ISERROR(SEARCH("Answer Missing",G31)))</formula>
    </cfRule>
  </conditionalFormatting>
  <conditionalFormatting sqref="G39">
    <cfRule type="containsText" dxfId="24" priority="2" stopIfTrue="1" operator="containsText" text="Answer Missing">
      <formula>NOT(ISERROR(SEARCH("Answer Missing",G39)))</formula>
    </cfRule>
  </conditionalFormatting>
  <conditionalFormatting sqref="K55">
    <cfRule type="containsText" dxfId="23" priority="1" stopIfTrue="1" operator="containsText" text="Answer Missing">
      <formula>NOT(ISERROR(SEARCH("Answer Missing",K55)))</formula>
    </cfRule>
  </conditionalFormatting>
  <hyperlinks>
    <hyperlink ref="B1:L1" location="Index!A1" display="Index!A1" xr:uid="{00000000-0004-0000-0C00-000000000000}"/>
  </hyperlinks>
  <pageMargins left="0.95" right="0.45" top="0.5" bottom="0.5" header="0.3" footer="0.3"/>
  <pageSetup scale="83" orientation="portrait" r:id="rId1"/>
  <headerFooter>
    <oddFooter>&amp;R&amp;A</oddFooter>
  </headerFooter>
  <rowBreaks count="1" manualBreakCount="1">
    <brk id="5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900A6-1C35-4BC3-A06F-1390CB9E8579}">
  <sheetPr codeName="Sheet18">
    <pageSetUpPr fitToPage="1"/>
  </sheetPr>
  <dimension ref="B1:Q40"/>
  <sheetViews>
    <sheetView showGridLines="0" zoomScaleNormal="100" workbookViewId="0">
      <selection activeCell="M1" sqref="M1"/>
    </sheetView>
  </sheetViews>
  <sheetFormatPr defaultColWidth="9.109375" defaultRowHeight="13.2" x14ac:dyDescent="0.25"/>
  <cols>
    <col min="1" max="1" width="0.6640625" style="647" customWidth="1"/>
    <col min="2" max="2" width="13.33203125" style="647" customWidth="1"/>
    <col min="3" max="3" width="1.6640625" style="647" customWidth="1"/>
    <col min="4" max="4" width="12" style="647" customWidth="1"/>
    <col min="5" max="5" width="1.5546875" style="647" customWidth="1"/>
    <col min="6" max="6" width="13.5546875" style="647" customWidth="1"/>
    <col min="7" max="7" width="1.5546875" style="647" customWidth="1"/>
    <col min="8" max="8" width="24.5546875" style="647" bestFit="1" customWidth="1"/>
    <col min="9" max="9" width="1.5546875" style="647" customWidth="1"/>
    <col min="10" max="10" width="21" style="647" customWidth="1"/>
    <col min="11" max="11" width="9.109375" style="647" customWidth="1"/>
    <col min="12" max="12" width="31" style="647" customWidth="1"/>
    <col min="13" max="16384" width="9.109375" style="647"/>
  </cols>
  <sheetData>
    <row r="1" spans="2:17" ht="25.2" customHeight="1" x14ac:dyDescent="0.3">
      <c r="B1" s="854" t="str">
        <f>+Index!$A$1</f>
        <v>Office of the State Controller</v>
      </c>
      <c r="C1" s="854"/>
      <c r="D1" s="854"/>
      <c r="E1" s="854"/>
      <c r="F1" s="854"/>
      <c r="G1" s="854"/>
      <c r="H1" s="854"/>
      <c r="I1" s="854"/>
      <c r="J1" s="854"/>
      <c r="K1" s="854"/>
      <c r="L1" s="993"/>
      <c r="M1" s="803" t="str">
        <f>IF(Index!$B$54="na","NA","")</f>
        <v/>
      </c>
    </row>
    <row r="2" spans="2:17" ht="15.6" x14ac:dyDescent="0.3">
      <c r="B2" s="844" t="str">
        <f>+Index!$A$2</f>
        <v>2022 ACFR Worksheets for Nonmajor Component Units</v>
      </c>
      <c r="C2" s="844"/>
      <c r="D2" s="844"/>
      <c r="E2" s="844"/>
      <c r="F2" s="844"/>
      <c r="G2" s="844"/>
      <c r="H2" s="844"/>
      <c r="I2" s="844"/>
      <c r="J2" s="844"/>
      <c r="K2" s="844"/>
      <c r="L2" s="993"/>
      <c r="M2" s="803"/>
    </row>
    <row r="3" spans="2:17" ht="15.6" x14ac:dyDescent="0.3">
      <c r="B3" s="844" t="s">
        <v>1278</v>
      </c>
      <c r="C3" s="844"/>
      <c r="D3" s="844"/>
      <c r="E3" s="844"/>
      <c r="F3" s="844"/>
      <c r="G3" s="844"/>
      <c r="H3" s="844"/>
      <c r="I3" s="844"/>
      <c r="J3" s="844"/>
      <c r="K3" s="844"/>
      <c r="L3" s="993"/>
      <c r="M3" s="803"/>
    </row>
    <row r="4" spans="2:17" ht="21" x14ac:dyDescent="0.4">
      <c r="H4" s="22" t="s">
        <v>19</v>
      </c>
      <c r="K4" s="695" t="s">
        <v>1221</v>
      </c>
    </row>
    <row r="5" spans="2:17" ht="15.6" x14ac:dyDescent="0.3">
      <c r="B5" s="674"/>
      <c r="C5" s="648"/>
      <c r="D5" s="1000"/>
      <c r="E5" s="1000"/>
      <c r="I5" s="696"/>
      <c r="J5" s="675" t="s">
        <v>357</v>
      </c>
      <c r="K5" s="908" t="str">
        <f>Index!$D$10</f>
        <v>0A</v>
      </c>
      <c r="L5" s="994"/>
    </row>
    <row r="6" spans="2:17" x14ac:dyDescent="0.25">
      <c r="I6" s="696"/>
      <c r="J6" s="675" t="s">
        <v>358</v>
      </c>
      <c r="K6" s="995" t="str">
        <f>Index!$D$11</f>
        <v>NC Housing Finance Agency</v>
      </c>
      <c r="L6" s="996"/>
    </row>
    <row r="7" spans="2:17" ht="15.6" x14ac:dyDescent="0.3">
      <c r="B7" s="674" t="s">
        <v>20</v>
      </c>
      <c r="C7" s="648"/>
      <c r="D7" s="1003" t="s">
        <v>21</v>
      </c>
      <c r="E7" s="1003"/>
      <c r="I7" s="681"/>
      <c r="J7" s="675" t="s">
        <v>359</v>
      </c>
      <c r="K7" s="1004" t="str">
        <f>CONCATENATE(Index!$D$14," ",Index!$D$16)</f>
        <v xml:space="preserve"> </v>
      </c>
      <c r="L7" s="996"/>
    </row>
    <row r="8" spans="2:17" ht="15.6" x14ac:dyDescent="0.3">
      <c r="B8" s="674"/>
      <c r="C8" s="648"/>
      <c r="D8" s="676"/>
      <c r="E8" s="676"/>
      <c r="I8" s="681"/>
      <c r="J8" s="677" t="s">
        <v>196</v>
      </c>
      <c r="K8" s="1004">
        <f>+Index!$D$15</f>
        <v>0</v>
      </c>
      <c r="L8" s="996"/>
    </row>
    <row r="9" spans="2:17" ht="15.6" x14ac:dyDescent="0.3">
      <c r="B9" s="674"/>
      <c r="C9" s="648"/>
      <c r="D9" s="676"/>
      <c r="E9" s="676"/>
      <c r="G9" s="677"/>
      <c r="H9" s="681"/>
      <c r="I9" s="681"/>
      <c r="J9" s="681"/>
      <c r="K9" s="681"/>
    </row>
    <row r="10" spans="2:17" ht="16.2" thickBot="1" x14ac:dyDescent="0.35">
      <c r="B10" s="680" t="s">
        <v>1220</v>
      </c>
      <c r="C10" s="26"/>
      <c r="D10" s="26"/>
      <c r="E10" s="26"/>
      <c r="F10" s="26"/>
      <c r="G10" s="26"/>
      <c r="H10" s="26"/>
      <c r="I10" s="26"/>
      <c r="J10" s="26"/>
      <c r="K10" s="26"/>
      <c r="L10" s="667"/>
      <c r="M10" s="666"/>
      <c r="N10" s="666"/>
      <c r="O10" s="666"/>
      <c r="P10" s="666"/>
      <c r="Q10" s="666"/>
    </row>
    <row r="11" spans="2:17" x14ac:dyDescent="0.25">
      <c r="B11" s="666"/>
      <c r="C11" s="666"/>
      <c r="D11" s="666"/>
      <c r="E11" s="666"/>
      <c r="F11" s="666"/>
      <c r="G11" s="666"/>
      <c r="H11" s="666"/>
      <c r="I11" s="666"/>
      <c r="J11" s="666"/>
      <c r="K11" s="666"/>
      <c r="L11" s="666"/>
      <c r="M11" s="666"/>
      <c r="N11" s="666"/>
      <c r="O11" s="666"/>
      <c r="P11" s="666"/>
      <c r="Q11" s="666"/>
    </row>
    <row r="12" spans="2:17" x14ac:dyDescent="0.25">
      <c r="B12" s="1001" t="s">
        <v>1260</v>
      </c>
      <c r="C12" s="1001"/>
      <c r="D12" s="1001"/>
      <c r="E12" s="1001"/>
      <c r="F12" s="1001"/>
      <c r="G12" s="1001"/>
      <c r="H12" s="1001"/>
      <c r="I12" s="1001"/>
      <c r="J12" s="1001"/>
      <c r="K12" s="1002"/>
      <c r="L12" s="1002"/>
      <c r="M12" s="666"/>
      <c r="N12" s="666"/>
      <c r="O12" s="666"/>
      <c r="P12" s="666"/>
      <c r="Q12" s="666"/>
    </row>
    <row r="13" spans="2:17" x14ac:dyDescent="0.25">
      <c r="B13" s="1001" t="s">
        <v>1261</v>
      </c>
      <c r="C13" s="1001"/>
      <c r="D13" s="1001"/>
      <c r="E13" s="1001"/>
      <c r="F13" s="1001"/>
      <c r="G13" s="1001"/>
      <c r="H13" s="1001"/>
      <c r="I13" s="1001"/>
      <c r="J13" s="1001"/>
      <c r="K13" s="1002"/>
      <c r="L13" s="1002"/>
      <c r="M13" s="666"/>
      <c r="N13" s="666"/>
      <c r="O13" s="666"/>
      <c r="P13" s="666"/>
      <c r="Q13" s="666"/>
    </row>
    <row r="14" spans="2:17" x14ac:dyDescent="0.25">
      <c r="B14" s="997" t="s">
        <v>1418</v>
      </c>
      <c r="C14" s="997"/>
      <c r="D14" s="997"/>
      <c r="E14" s="997"/>
      <c r="F14" s="997"/>
      <c r="G14" s="997"/>
      <c r="H14" s="997"/>
      <c r="I14" s="997"/>
      <c r="J14" s="997"/>
      <c r="K14" s="966"/>
      <c r="L14" s="966"/>
      <c r="M14" s="666"/>
      <c r="N14" s="666"/>
      <c r="O14" s="666"/>
      <c r="P14" s="666"/>
      <c r="Q14" s="666"/>
    </row>
    <row r="15" spans="2:17" x14ac:dyDescent="0.25">
      <c r="B15" s="997" t="s">
        <v>1419</v>
      </c>
      <c r="C15" s="997"/>
      <c r="D15" s="997"/>
      <c r="E15" s="997"/>
      <c r="F15" s="997"/>
      <c r="G15" s="997"/>
      <c r="H15" s="997"/>
      <c r="I15" s="997"/>
      <c r="J15" s="997"/>
      <c r="K15" s="966"/>
      <c r="L15" s="966"/>
      <c r="M15" s="666"/>
      <c r="N15" s="666"/>
      <c r="O15" s="666"/>
      <c r="P15" s="666"/>
      <c r="Q15" s="666"/>
    </row>
    <row r="16" spans="2:17" x14ac:dyDescent="0.25">
      <c r="B16" s="997" t="s">
        <v>1285</v>
      </c>
      <c r="C16" s="997"/>
      <c r="D16" s="997"/>
      <c r="E16" s="997"/>
      <c r="F16" s="997"/>
      <c r="G16" s="997"/>
      <c r="H16" s="997"/>
      <c r="I16" s="997"/>
      <c r="J16" s="997"/>
      <c r="K16" s="966"/>
      <c r="L16" s="966"/>
      <c r="M16" s="666"/>
      <c r="N16" s="666"/>
      <c r="O16" s="666"/>
      <c r="P16" s="666"/>
      <c r="Q16" s="666"/>
    </row>
    <row r="17" spans="2:17" x14ac:dyDescent="0.25">
      <c r="B17" s="679" t="s">
        <v>1420</v>
      </c>
      <c r="C17" s="679"/>
      <c r="D17" s="679"/>
      <c r="E17" s="679"/>
      <c r="F17" s="679"/>
      <c r="G17" s="679"/>
      <c r="H17" s="679"/>
      <c r="I17" s="679"/>
      <c r="J17" s="679"/>
      <c r="K17" s="679"/>
      <c r="L17" s="666"/>
      <c r="M17" s="666"/>
      <c r="N17" s="666"/>
      <c r="O17" s="666"/>
      <c r="P17" s="666"/>
      <c r="Q17" s="666"/>
    </row>
    <row r="18" spans="2:17" s="649" customFormat="1" x14ac:dyDescent="0.25">
      <c r="B18" s="720" t="s">
        <v>1286</v>
      </c>
      <c r="C18" s="679"/>
      <c r="D18" s="679"/>
      <c r="E18" s="679"/>
      <c r="F18" s="679"/>
      <c r="G18" s="679"/>
      <c r="H18" s="679"/>
      <c r="I18" s="679"/>
      <c r="J18" s="679"/>
      <c r="K18" s="679"/>
      <c r="L18" s="666"/>
      <c r="M18" s="666"/>
      <c r="N18" s="666"/>
      <c r="O18" s="666"/>
      <c r="P18" s="666"/>
      <c r="Q18" s="666"/>
    </row>
    <row r="19" spans="2:17" s="719" customFormat="1" x14ac:dyDescent="0.25">
      <c r="B19" s="720"/>
      <c r="C19" s="720"/>
      <c r="D19" s="720"/>
      <c r="E19" s="720"/>
      <c r="F19" s="720"/>
      <c r="G19" s="720"/>
      <c r="H19" s="720"/>
      <c r="I19" s="720"/>
      <c r="J19" s="720"/>
      <c r="K19" s="720"/>
      <c r="L19" s="666"/>
      <c r="M19" s="666"/>
      <c r="N19" s="666"/>
      <c r="O19" s="666"/>
      <c r="P19" s="666"/>
      <c r="Q19" s="666"/>
    </row>
    <row r="20" spans="2:17" s="649" customFormat="1" x14ac:dyDescent="0.25">
      <c r="B20" s="997" t="s">
        <v>1262</v>
      </c>
      <c r="C20" s="997"/>
      <c r="D20" s="997"/>
      <c r="E20" s="997"/>
      <c r="F20" s="997"/>
      <c r="G20" s="997"/>
      <c r="H20" s="997"/>
      <c r="I20" s="997"/>
      <c r="J20" s="997"/>
      <c r="K20" s="966"/>
      <c r="L20" s="966"/>
      <c r="M20" s="666"/>
      <c r="N20" s="666"/>
      <c r="O20" s="666"/>
      <c r="P20" s="666"/>
      <c r="Q20" s="666"/>
    </row>
    <row r="21" spans="2:17" s="649" customFormat="1" x14ac:dyDescent="0.25">
      <c r="B21" s="679"/>
      <c r="C21" s="679"/>
      <c r="D21" s="679"/>
      <c r="E21" s="679"/>
      <c r="F21" s="679"/>
      <c r="G21" s="679"/>
      <c r="H21" s="679"/>
      <c r="I21" s="679"/>
      <c r="J21" s="679"/>
      <c r="M21" s="666"/>
      <c r="N21" s="666"/>
      <c r="O21" s="666"/>
      <c r="P21" s="666"/>
      <c r="Q21" s="666"/>
    </row>
    <row r="22" spans="2:17" s="649" customFormat="1" x14ac:dyDescent="0.25">
      <c r="B22" s="690" t="s">
        <v>771</v>
      </c>
      <c r="C22" s="691"/>
      <c r="D22" s="570"/>
      <c r="E22" s="692" t="str">
        <f>IF(AND(ISBLANK(D22),ISBLANK(D23))=TRUE,"Answer Missing"," ")</f>
        <v>Answer Missing</v>
      </c>
      <c r="F22" s="693"/>
      <c r="G22" s="691"/>
      <c r="H22" s="694" t="str">
        <f>IF(ISTEXT(D22), "Section B Required", " ")</f>
        <v xml:space="preserve"> </v>
      </c>
      <c r="I22" s="694"/>
      <c r="J22" s="694"/>
      <c r="M22" s="666"/>
      <c r="N22" s="666"/>
      <c r="O22" s="666"/>
      <c r="P22" s="666"/>
      <c r="Q22" s="666"/>
    </row>
    <row r="23" spans="2:17" s="649" customFormat="1" x14ac:dyDescent="0.25">
      <c r="B23" s="690" t="s">
        <v>772</v>
      </c>
      <c r="C23" s="691"/>
      <c r="D23" s="570"/>
      <c r="E23" s="563"/>
      <c r="F23" s="691"/>
      <c r="G23" s="691"/>
      <c r="H23" s="691"/>
      <c r="I23" s="691"/>
      <c r="J23" s="691"/>
      <c r="M23" s="666"/>
      <c r="N23" s="666"/>
      <c r="O23" s="666"/>
      <c r="P23" s="666"/>
      <c r="Q23" s="666"/>
    </row>
    <row r="24" spans="2:17" x14ac:dyDescent="0.25">
      <c r="B24" s="690"/>
      <c r="C24" s="691"/>
      <c r="D24" s="571"/>
      <c r="E24" s="563"/>
      <c r="F24" s="691"/>
      <c r="G24" s="691"/>
      <c r="H24" s="691"/>
      <c r="I24" s="691"/>
      <c r="J24" s="691"/>
      <c r="K24" s="649"/>
      <c r="L24" s="649"/>
      <c r="M24" s="664"/>
      <c r="N24" s="664"/>
      <c r="O24" s="664"/>
      <c r="P24" s="664"/>
      <c r="Q24" s="664"/>
    </row>
    <row r="25" spans="2:17" x14ac:dyDescent="0.25">
      <c r="B25" s="997" t="s">
        <v>1263</v>
      </c>
      <c r="C25" s="997"/>
      <c r="D25" s="997"/>
      <c r="E25" s="997"/>
      <c r="F25" s="997"/>
      <c r="G25" s="997"/>
      <c r="H25" s="997"/>
      <c r="I25" s="997"/>
      <c r="J25" s="997"/>
      <c r="K25" s="966"/>
      <c r="L25" s="966"/>
      <c r="M25" s="664"/>
      <c r="N25" s="664"/>
      <c r="O25" s="664"/>
      <c r="P25" s="664"/>
      <c r="Q25" s="664"/>
    </row>
    <row r="26" spans="2:17" x14ac:dyDescent="0.25">
      <c r="B26" s="998" t="s">
        <v>1222</v>
      </c>
      <c r="C26" s="998"/>
      <c r="D26" s="998"/>
      <c r="E26" s="998"/>
      <c r="F26" s="998"/>
      <c r="G26" s="998"/>
      <c r="H26" s="998"/>
      <c r="I26" s="998"/>
      <c r="J26" s="998"/>
      <c r="K26" s="998"/>
      <c r="L26" s="998"/>
      <c r="M26" s="664"/>
      <c r="N26" s="664"/>
      <c r="O26" s="664"/>
      <c r="P26" s="664"/>
      <c r="Q26" s="664"/>
    </row>
    <row r="27" spans="2:17" x14ac:dyDescent="0.25">
      <c r="B27" s="666"/>
      <c r="C27" s="666"/>
      <c r="D27" s="666"/>
      <c r="E27" s="666"/>
      <c r="F27" s="666"/>
      <c r="G27" s="666"/>
      <c r="H27" s="666"/>
      <c r="I27" s="666"/>
      <c r="J27" s="652" t="s">
        <v>1214</v>
      </c>
      <c r="K27" s="666"/>
      <c r="L27" s="652"/>
      <c r="M27" s="664"/>
      <c r="N27" s="664"/>
      <c r="O27" s="664"/>
      <c r="P27" s="664"/>
      <c r="Q27" s="664"/>
    </row>
    <row r="28" spans="2:17" x14ac:dyDescent="0.25">
      <c r="B28" s="666"/>
      <c r="C28" s="666"/>
      <c r="D28" s="666"/>
      <c r="E28" s="666"/>
      <c r="F28" s="666"/>
      <c r="G28" s="666"/>
      <c r="H28" s="666"/>
      <c r="I28" s="666"/>
      <c r="J28" s="653" t="s">
        <v>1215</v>
      </c>
      <c r="K28" s="666"/>
      <c r="L28" s="653"/>
      <c r="M28" s="671"/>
      <c r="N28" s="671"/>
      <c r="O28" s="671"/>
      <c r="P28" s="671"/>
      <c r="Q28" s="671"/>
    </row>
    <row r="29" spans="2:17" x14ac:dyDescent="0.25">
      <c r="B29" s="666"/>
      <c r="C29" s="666"/>
      <c r="D29" s="666"/>
      <c r="E29" s="666"/>
      <c r="F29" s="666"/>
      <c r="G29" s="666"/>
      <c r="H29" s="721" t="s">
        <v>1264</v>
      </c>
      <c r="I29" s="666"/>
      <c r="J29" s="653" t="s">
        <v>1216</v>
      </c>
      <c r="K29" s="666"/>
      <c r="L29" s="653"/>
      <c r="M29" s="671"/>
      <c r="N29" s="671"/>
      <c r="O29" s="671"/>
      <c r="P29" s="671"/>
      <c r="Q29" s="671"/>
    </row>
    <row r="30" spans="2:17" x14ac:dyDescent="0.25">
      <c r="B30" s="654" t="s">
        <v>1217</v>
      </c>
      <c r="C30" s="583"/>
      <c r="D30" s="654" t="s">
        <v>1218</v>
      </c>
      <c r="E30" s="583"/>
      <c r="F30" s="654" t="s">
        <v>1219</v>
      </c>
      <c r="G30" s="583"/>
      <c r="H30" s="654" t="s">
        <v>1265</v>
      </c>
      <c r="I30" s="583"/>
      <c r="J30" s="655" t="s">
        <v>1430</v>
      </c>
      <c r="K30" s="653"/>
      <c r="L30" s="665"/>
      <c r="M30" s="671"/>
      <c r="N30" s="671"/>
      <c r="O30" s="671"/>
      <c r="P30" s="671"/>
      <c r="Q30" s="671"/>
    </row>
    <row r="31" spans="2:17" x14ac:dyDescent="0.25">
      <c r="B31" s="656"/>
      <c r="C31" s="657"/>
      <c r="D31" s="658"/>
      <c r="E31" s="659"/>
      <c r="F31" s="660"/>
      <c r="G31" s="661"/>
      <c r="H31" s="660"/>
      <c r="I31" s="668"/>
      <c r="J31" s="662"/>
      <c r="K31" s="663"/>
      <c r="L31" s="663"/>
      <c r="M31" s="671"/>
      <c r="N31" s="671"/>
      <c r="O31" s="671"/>
      <c r="P31" s="671"/>
      <c r="Q31" s="671"/>
    </row>
    <row r="32" spans="2:17" x14ac:dyDescent="0.25">
      <c r="B32" s="656"/>
      <c r="C32" s="657"/>
      <c r="D32" s="658"/>
      <c r="E32" s="657"/>
      <c r="F32" s="660"/>
      <c r="G32" s="661"/>
      <c r="H32" s="660"/>
      <c r="I32" s="668"/>
      <c r="J32" s="662"/>
      <c r="K32" s="663"/>
      <c r="L32" s="663"/>
      <c r="M32" s="671"/>
      <c r="N32" s="671"/>
      <c r="O32" s="671"/>
      <c r="P32" s="671"/>
      <c r="Q32" s="671"/>
    </row>
    <row r="33" spans="2:17" x14ac:dyDescent="0.25">
      <c r="B33" s="656"/>
      <c r="C33" s="657"/>
      <c r="D33" s="658"/>
      <c r="E33" s="657"/>
      <c r="F33" s="660"/>
      <c r="G33" s="661"/>
      <c r="H33" s="660"/>
      <c r="I33" s="668"/>
      <c r="J33" s="662"/>
      <c r="K33" s="663"/>
      <c r="L33" s="663"/>
      <c r="M33" s="671"/>
      <c r="N33" s="671"/>
      <c r="O33" s="671"/>
      <c r="P33" s="671"/>
      <c r="Q33" s="671"/>
    </row>
    <row r="34" spans="2:17" x14ac:dyDescent="0.25">
      <c r="B34" s="656"/>
      <c r="C34" s="657"/>
      <c r="D34" s="658"/>
      <c r="E34" s="657"/>
      <c r="F34" s="660"/>
      <c r="G34" s="661"/>
      <c r="H34" s="660"/>
      <c r="I34" s="668"/>
      <c r="J34" s="662"/>
      <c r="K34" s="663"/>
      <c r="L34" s="663"/>
      <c r="M34" s="671"/>
      <c r="N34" s="671"/>
      <c r="O34" s="671"/>
      <c r="P34" s="671"/>
      <c r="Q34" s="671"/>
    </row>
    <row r="35" spans="2:17" x14ac:dyDescent="0.25">
      <c r="B35" s="669"/>
      <c r="C35" s="670"/>
      <c r="D35" s="670"/>
      <c r="E35" s="666"/>
      <c r="F35" s="672"/>
      <c r="G35" s="673"/>
      <c r="H35" s="999"/>
      <c r="I35" s="999"/>
      <c r="J35" s="999"/>
      <c r="K35" s="668"/>
      <c r="L35" s="666"/>
      <c r="M35" s="671"/>
      <c r="N35" s="671"/>
      <c r="O35" s="671"/>
      <c r="P35" s="671"/>
      <c r="Q35" s="671"/>
    </row>
    <row r="36" spans="2:17" x14ac:dyDescent="0.25">
      <c r="B36" s="669"/>
      <c r="C36" s="670"/>
      <c r="D36" s="670"/>
      <c r="E36" s="678"/>
      <c r="F36" s="672"/>
      <c r="G36" s="673"/>
      <c r="H36" s="673"/>
      <c r="I36" s="673"/>
      <c r="J36" s="673"/>
      <c r="K36" s="668"/>
      <c r="L36" s="666"/>
      <c r="M36" s="671"/>
      <c r="N36" s="671"/>
      <c r="O36" s="671"/>
      <c r="P36" s="671"/>
      <c r="Q36" s="671"/>
    </row>
    <row r="37" spans="2:17" x14ac:dyDescent="0.25">
      <c r="B37" s="669"/>
      <c r="C37" s="670"/>
      <c r="D37" s="670"/>
      <c r="E37" s="670"/>
      <c r="F37" s="672"/>
      <c r="G37" s="673"/>
      <c r="H37" s="673"/>
      <c r="I37" s="673"/>
      <c r="J37" s="673"/>
      <c r="K37" s="668"/>
      <c r="L37" s="666"/>
      <c r="M37" s="671"/>
      <c r="N37" s="671"/>
      <c r="O37" s="671"/>
      <c r="P37" s="671"/>
      <c r="Q37" s="671"/>
    </row>
    <row r="38" spans="2:17" x14ac:dyDescent="0.25">
      <c r="B38" s="669"/>
      <c r="C38" s="670"/>
      <c r="D38" s="670"/>
      <c r="E38" s="670"/>
      <c r="F38" s="672"/>
      <c r="G38" s="673"/>
      <c r="H38" s="673"/>
      <c r="I38" s="673"/>
      <c r="J38" s="673"/>
      <c r="K38" s="668"/>
      <c r="L38" s="666"/>
      <c r="M38" s="671"/>
      <c r="N38" s="671"/>
      <c r="O38" s="671"/>
      <c r="P38" s="671"/>
      <c r="Q38" s="671"/>
    </row>
    <row r="39" spans="2:17" x14ac:dyDescent="0.25">
      <c r="B39" s="669"/>
      <c r="C39" s="670"/>
      <c r="D39" s="670"/>
      <c r="E39" s="670"/>
      <c r="F39" s="672"/>
      <c r="G39" s="673"/>
      <c r="H39" s="673"/>
      <c r="I39" s="673"/>
      <c r="J39" s="673"/>
      <c r="K39" s="668"/>
      <c r="L39" s="666"/>
      <c r="M39" s="671"/>
      <c r="N39" s="671"/>
      <c r="O39" s="671"/>
      <c r="P39" s="671"/>
      <c r="Q39" s="671"/>
    </row>
    <row r="40" spans="2:17" x14ac:dyDescent="0.25">
      <c r="B40" s="666"/>
      <c r="C40" s="666"/>
      <c r="D40" s="666"/>
      <c r="E40" s="666"/>
      <c r="F40" s="666"/>
      <c r="G40" s="666"/>
      <c r="H40" s="666"/>
      <c r="I40" s="666"/>
      <c r="J40" s="666"/>
      <c r="K40" s="666"/>
      <c r="L40" s="666"/>
      <c r="M40" s="671"/>
      <c r="N40" s="671"/>
      <c r="O40" s="671"/>
      <c r="P40" s="671"/>
      <c r="Q40" s="671"/>
    </row>
  </sheetData>
  <sheetProtection algorithmName="SHA-512" hashValue="R5oXqBSqO1+31pCXDwB/aBi/AQmNQYZ/23AEBpaGCdeLjUcvTFN13fEDQaBGH961L1Cp65dz2yrIfSSd50PoZg==" saltValue="/vuQ+dHJQHozZoId4hJEVw==" spinCount="100000" sheet="1" objects="1" scenarios="1" autoFilter="0"/>
  <mergeCells count="18">
    <mergeCell ref="B25:L25"/>
    <mergeCell ref="B26:L26"/>
    <mergeCell ref="H35:J35"/>
    <mergeCell ref="D5:E5"/>
    <mergeCell ref="B12:L12"/>
    <mergeCell ref="B13:L13"/>
    <mergeCell ref="B14:L14"/>
    <mergeCell ref="D7:E7"/>
    <mergeCell ref="B15:L15"/>
    <mergeCell ref="B16:L16"/>
    <mergeCell ref="B20:L20"/>
    <mergeCell ref="K7:L7"/>
    <mergeCell ref="K8:L8"/>
    <mergeCell ref="B3:L3"/>
    <mergeCell ref="B2:L2"/>
    <mergeCell ref="B1:L1"/>
    <mergeCell ref="K5:L5"/>
    <mergeCell ref="K6:L6"/>
  </mergeCells>
  <conditionalFormatting sqref="E22">
    <cfRule type="containsText" dxfId="22" priority="3" stopIfTrue="1" operator="containsText" text="Answer Missing">
      <formula>NOT(ISERROR(SEARCH("Answer Missing",E22)))</formula>
    </cfRule>
  </conditionalFormatting>
  <conditionalFormatting sqref="H22">
    <cfRule type="containsText" dxfId="21" priority="2" stopIfTrue="1" operator="containsText" text="Answer Missing">
      <formula>NOT(ISERROR(SEARCH("Answer Missing",H22)))</formula>
    </cfRule>
  </conditionalFormatting>
  <conditionalFormatting sqref="M1:M3">
    <cfRule type="cellIs" dxfId="20" priority="1" stopIfTrue="1" operator="equal">
      <formula>"na"</formula>
    </cfRule>
  </conditionalFormatting>
  <hyperlinks>
    <hyperlink ref="B1:K1" location="Index!A1" display="Index!A1" xr:uid="{3F52A4B0-F101-46A4-B7A1-ADAA20ED6E51}"/>
  </hyperlinks>
  <pageMargins left="0.7" right="0.7" top="0.75" bottom="0.75" header="0.3" footer="0.3"/>
  <pageSetup scale="84" orientation="landscape" r:id="rId1"/>
  <ignoredErrors>
    <ignoredError sqref="K7:K8"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M29"/>
  <sheetViews>
    <sheetView showGridLines="0" topLeftCell="B1" zoomScaleNormal="100" workbookViewId="0">
      <selection activeCell="L26" sqref="L26"/>
    </sheetView>
  </sheetViews>
  <sheetFormatPr defaultRowHeight="13.2" x14ac:dyDescent="0.25"/>
  <cols>
    <col min="1" max="1" width="9.109375" hidden="1" customWidth="1"/>
    <col min="2" max="2" width="14.44140625" customWidth="1"/>
    <col min="3" max="3" width="6.88671875" customWidth="1"/>
    <col min="4" max="4" width="6.44140625" customWidth="1"/>
    <col min="5" max="9" width="16.109375" customWidth="1"/>
    <col min="10" max="10" width="4.44140625" customWidth="1"/>
    <col min="11" max="11" width="15.88671875" customWidth="1"/>
    <col min="12" max="12" width="23.44140625" style="726" customWidth="1"/>
    <col min="13" max="13" width="18.44140625" style="726" customWidth="1"/>
  </cols>
  <sheetData>
    <row r="1" spans="1:13" s="2" customFormat="1" ht="15" customHeight="1" x14ac:dyDescent="0.3">
      <c r="A1" s="380"/>
      <c r="B1" s="854" t="str">
        <f>+Index!$A$1</f>
        <v>Office of the State Controller</v>
      </c>
      <c r="C1" s="854"/>
      <c r="D1" s="854"/>
      <c r="E1" s="854"/>
      <c r="F1" s="854"/>
      <c r="G1" s="854"/>
      <c r="H1" s="854"/>
      <c r="I1" s="854"/>
      <c r="J1" s="312"/>
      <c r="K1" s="312"/>
      <c r="L1" s="312"/>
      <c r="M1" s="980"/>
    </row>
    <row r="2" spans="1:13" s="2" customFormat="1" ht="18.600000000000001" customHeight="1" x14ac:dyDescent="0.3">
      <c r="B2" s="1017" t="str">
        <f>+Index!$A$2</f>
        <v>2022 ACFR Worksheets for Nonmajor Component Units</v>
      </c>
      <c r="C2" s="1017"/>
      <c r="D2" s="1017"/>
      <c r="E2" s="1017"/>
      <c r="F2" s="1017"/>
      <c r="G2" s="1017"/>
      <c r="H2" s="1017"/>
      <c r="I2" s="1017"/>
      <c r="J2" s="593" t="str">
        <f>IF(Index!$B$55="na","NA","")</f>
        <v/>
      </c>
      <c r="K2" s="593" t="s">
        <v>19</v>
      </c>
      <c r="L2" s="593"/>
      <c r="M2" s="980"/>
    </row>
    <row r="3" spans="1:13" s="2" customFormat="1" ht="15" customHeight="1" x14ac:dyDescent="0.3">
      <c r="C3" s="578"/>
      <c r="D3" s="578"/>
      <c r="E3" s="578"/>
      <c r="F3" s="578" t="s">
        <v>1150</v>
      </c>
      <c r="G3" s="578"/>
      <c r="H3" s="578"/>
      <c r="I3" s="381" t="str">
        <f>IF(Index!$B$53="na","NA","")</f>
        <v/>
      </c>
      <c r="J3" s="593"/>
      <c r="K3" s="593"/>
      <c r="L3" s="593"/>
      <c r="M3" s="980"/>
    </row>
    <row r="4" spans="1:13" s="2" customFormat="1" ht="15" customHeight="1" x14ac:dyDescent="0.3">
      <c r="B4" s="1017" t="s">
        <v>1151</v>
      </c>
      <c r="C4" s="1017"/>
      <c r="D4" s="1017"/>
      <c r="E4" s="1017"/>
      <c r="F4" s="1017"/>
      <c r="G4" s="1017"/>
      <c r="H4" s="1017"/>
      <c r="I4" s="1017"/>
      <c r="J4" s="593"/>
      <c r="K4" s="593"/>
      <c r="L4" s="593"/>
    </row>
    <row r="5" spans="1:13" s="2" customFormat="1" ht="15" customHeight="1" x14ac:dyDescent="0.3">
      <c r="B5" s="578"/>
      <c r="C5" s="578"/>
      <c r="D5" s="578"/>
      <c r="E5" s="578"/>
      <c r="F5" s="578"/>
      <c r="G5" s="591" t="s">
        <v>1156</v>
      </c>
      <c r="I5" s="578"/>
      <c r="J5" s="578"/>
      <c r="K5" s="578"/>
      <c r="L5" s="728"/>
    </row>
    <row r="6" spans="1:13" s="2" customFormat="1" ht="17.25" customHeight="1" x14ac:dyDescent="0.3">
      <c r="B6" s="594" t="s">
        <v>359</v>
      </c>
      <c r="C6" s="1018" t="str">
        <f>CONCATENATE(Index!$D$14," ", Index!$D$16)</f>
        <v xml:space="preserve"> </v>
      </c>
      <c r="D6" s="1018"/>
      <c r="E6" s="1018"/>
      <c r="F6" s="595" t="s">
        <v>357</v>
      </c>
      <c r="G6" s="1019" t="str">
        <f>Index!$D$10</f>
        <v>0A</v>
      </c>
      <c r="H6" s="1019"/>
      <c r="I6" s="1019"/>
      <c r="L6" s="728"/>
    </row>
    <row r="7" spans="1:13" s="12" customFormat="1" ht="12" customHeight="1" x14ac:dyDescent="0.25">
      <c r="B7" s="595" t="s">
        <v>196</v>
      </c>
      <c r="C7" s="1012">
        <f>+Index!$D$15</f>
        <v>0</v>
      </c>
      <c r="D7" s="1012"/>
      <c r="E7" s="1012"/>
      <c r="F7" s="595" t="s">
        <v>358</v>
      </c>
      <c r="G7" s="1013" t="str">
        <f>Index!$D$11</f>
        <v>NC Housing Finance Agency</v>
      </c>
      <c r="H7" s="1013"/>
      <c r="I7" s="1013"/>
      <c r="J7" s="596"/>
      <c r="K7" s="596"/>
      <c r="L7" s="382"/>
      <c r="M7" s="727"/>
    </row>
    <row r="8" spans="1:13" s="12" customFormat="1" ht="18" hidden="1" customHeight="1" x14ac:dyDescent="0.25">
      <c r="J8" s="595"/>
      <c r="K8" s="1010"/>
      <c r="L8" s="1010"/>
      <c r="M8" s="727"/>
    </row>
    <row r="9" spans="1:13" s="12" customFormat="1" ht="18" customHeight="1" thickBot="1" x14ac:dyDescent="0.3">
      <c r="B9" s="92"/>
      <c r="C9" s="92"/>
      <c r="D9" s="92"/>
      <c r="E9" s="92"/>
      <c r="F9" s="92"/>
      <c r="G9" s="92"/>
      <c r="H9" s="92"/>
      <c r="I9" s="92"/>
      <c r="J9" s="595"/>
      <c r="K9" s="597"/>
      <c r="L9" s="597"/>
      <c r="M9" s="727"/>
    </row>
    <row r="10" spans="1:13" s="12" customFormat="1" ht="13.5" customHeight="1" x14ac:dyDescent="0.25">
      <c r="B10" s="596"/>
      <c r="C10" s="596"/>
      <c r="D10" s="596"/>
      <c r="E10" s="596"/>
      <c r="F10" s="596"/>
      <c r="G10" s="596"/>
      <c r="H10" s="596"/>
      <c r="I10" s="596"/>
      <c r="J10"/>
      <c r="K10"/>
      <c r="L10" s="726"/>
      <c r="M10" s="727"/>
    </row>
    <row r="11" spans="1:13" s="12" customFormat="1" ht="18" customHeight="1" x14ac:dyDescent="0.25">
      <c r="B11" s="1011"/>
      <c r="C11" s="1011"/>
      <c r="D11" s="1011"/>
      <c r="E11" s="579" t="s">
        <v>65</v>
      </c>
      <c r="F11" s="579" t="s">
        <v>65</v>
      </c>
      <c r="G11" s="579" t="s">
        <v>65</v>
      </c>
      <c r="H11" s="579" t="s">
        <v>65</v>
      </c>
      <c r="I11" s="579" t="s">
        <v>65</v>
      </c>
      <c r="J11"/>
      <c r="K11"/>
      <c r="L11" s="726"/>
      <c r="M11" s="727"/>
    </row>
    <row r="12" spans="1:13" s="12" customFormat="1" ht="18" customHeight="1" x14ac:dyDescent="0.25">
      <c r="B12" s="1014" t="s">
        <v>1152</v>
      </c>
      <c r="C12" s="1014"/>
      <c r="D12" s="1014"/>
      <c r="E12" s="580"/>
      <c r="F12" s="580"/>
      <c r="G12" s="580"/>
      <c r="H12" s="580"/>
      <c r="I12" s="580"/>
      <c r="J12"/>
      <c r="K12"/>
      <c r="L12" s="726"/>
      <c r="M12" s="727"/>
    </row>
    <row r="13" spans="1:13" s="12" customFormat="1" ht="15" customHeight="1" x14ac:dyDescent="0.25">
      <c r="B13" s="581" t="s">
        <v>674</v>
      </c>
      <c r="C13" s="582"/>
      <c r="D13" s="583"/>
      <c r="E13" s="584"/>
      <c r="F13" s="584"/>
      <c r="G13" s="584"/>
      <c r="H13" s="584"/>
      <c r="I13" s="584"/>
      <c r="J13"/>
      <c r="K13"/>
      <c r="L13" s="726"/>
      <c r="M13" s="727"/>
    </row>
    <row r="14" spans="1:13" s="12" customFormat="1" ht="15" customHeight="1" x14ac:dyDescent="0.25">
      <c r="B14" s="1015" t="s">
        <v>730</v>
      </c>
      <c r="C14" s="1015"/>
      <c r="D14" s="1016"/>
      <c r="E14" s="585"/>
      <c r="F14" s="585"/>
      <c r="G14" s="585"/>
      <c r="H14" s="585"/>
      <c r="I14" s="585"/>
      <c r="J14"/>
      <c r="K14"/>
      <c r="L14" s="734" t="s">
        <v>1295</v>
      </c>
      <c r="M14" s="734" t="s">
        <v>1304</v>
      </c>
    </row>
    <row r="15" spans="1:13" s="12" customFormat="1" ht="15" customHeight="1" x14ac:dyDescent="0.25">
      <c r="B15" s="582" t="s">
        <v>1153</v>
      </c>
      <c r="C15" s="583"/>
      <c r="D15" s="583"/>
      <c r="E15" s="586"/>
      <c r="F15" s="586"/>
      <c r="G15" s="586"/>
      <c r="H15" s="586"/>
      <c r="I15" s="586"/>
      <c r="J15"/>
      <c r="K15"/>
      <c r="L15" s="734"/>
      <c r="M15" s="734"/>
    </row>
    <row r="16" spans="1:13" s="12" customFormat="1" ht="15" customHeight="1" x14ac:dyDescent="0.25">
      <c r="B16" s="1005" t="s">
        <v>350</v>
      </c>
      <c r="C16" s="1005"/>
      <c r="D16" s="1005"/>
      <c r="E16" s="585"/>
      <c r="F16" s="585"/>
      <c r="G16" s="585"/>
      <c r="H16" s="585"/>
      <c r="I16" s="585"/>
      <c r="J16"/>
      <c r="K16"/>
      <c r="L16" s="734" t="s">
        <v>733</v>
      </c>
      <c r="M16" s="734" t="str">
        <f>IF(B16="Primary and secondary education","Prim Sec Ed",IF(B16="Economic development","Econ Dev",IF(B16="Environment and natural resources","ENR",IF(B16="Public safety, corrections, and regulation","Public Safety",IF(B16="Transportation","Trans",IF(B16="Agriculture","Agric",IF(B16="Debt service","Debt Serv",IF(B16="Other purposes","OthPur",IF(B16="Capital projects/repairs and renovations","CapProjectsReno","No Function")))))))))</f>
        <v>Econ Dev</v>
      </c>
    </row>
    <row r="17" spans="2:13" s="12" customFormat="1" ht="15" customHeight="1" x14ac:dyDescent="0.25">
      <c r="B17" s="1005" t="s">
        <v>192</v>
      </c>
      <c r="C17" s="1005"/>
      <c r="D17" s="1005"/>
      <c r="E17" s="585"/>
      <c r="F17" s="585"/>
      <c r="G17" s="585"/>
      <c r="H17" s="585"/>
      <c r="I17" s="585"/>
      <c r="J17"/>
      <c r="K17"/>
      <c r="L17" s="734" t="s">
        <v>733</v>
      </c>
      <c r="M17" s="734" t="s">
        <v>1302</v>
      </c>
    </row>
    <row r="18" spans="2:13" s="12" customFormat="1" ht="15" customHeight="1" x14ac:dyDescent="0.25">
      <c r="B18" s="1006" t="s">
        <v>1158</v>
      </c>
      <c r="C18" s="1006"/>
      <c r="D18" s="1006"/>
      <c r="E18" s="585"/>
      <c r="F18" s="585"/>
      <c r="G18" s="585"/>
      <c r="H18" s="585"/>
      <c r="I18" s="585"/>
      <c r="J18"/>
      <c r="K18"/>
      <c r="L18" s="734" t="s">
        <v>733</v>
      </c>
      <c r="M18" s="734" t="s">
        <v>1305</v>
      </c>
    </row>
    <row r="19" spans="2:13" ht="15.75" customHeight="1" x14ac:dyDescent="0.25">
      <c r="B19" s="1007" t="s">
        <v>1154</v>
      </c>
      <c r="C19" s="1008"/>
      <c r="D19" s="1009"/>
      <c r="E19" s="587"/>
      <c r="F19" s="587"/>
      <c r="G19" s="587"/>
      <c r="H19" s="587"/>
      <c r="I19" s="587"/>
      <c r="L19" s="734" t="s">
        <v>1296</v>
      </c>
      <c r="M19" s="734" t="s">
        <v>1304</v>
      </c>
    </row>
    <row r="20" spans="2:13" ht="18" customHeight="1" thickBot="1" x14ac:dyDescent="0.3">
      <c r="B20" s="582" t="s">
        <v>676</v>
      </c>
      <c r="C20" s="588"/>
      <c r="D20" s="589"/>
      <c r="E20" s="590">
        <f>SUM(E14:E14)+SUM(E16:E18)+SUM(E19:E19)</f>
        <v>0</v>
      </c>
      <c r="F20" s="590">
        <f>SUM(F14:F14)+SUM(F16:F18)+SUM(F19:F19)</f>
        <v>0</v>
      </c>
      <c r="G20" s="590">
        <f>SUM(G14:G14)+SUM(G16:G18)+SUM(G19:G19)</f>
        <v>0</v>
      </c>
      <c r="H20" s="590">
        <f>SUM(H14:H14)+SUM(H16:H18)+SUM(H19:H19)</f>
        <v>0</v>
      </c>
      <c r="I20" s="590">
        <f>SUM(I14:I14)+SUM(I16:I18)+SUM(I19:I19)</f>
        <v>0</v>
      </c>
    </row>
    <row r="21" spans="2:13" ht="13.8" thickTop="1" x14ac:dyDescent="0.25">
      <c r="B21" s="591" t="s">
        <v>1268</v>
      </c>
      <c r="C21" s="382"/>
      <c r="D21" s="382"/>
      <c r="E21" s="382"/>
      <c r="F21" s="382"/>
      <c r="G21" s="382"/>
      <c r="H21" s="382"/>
      <c r="I21" s="382"/>
    </row>
    <row r="22" spans="2:13" s="703" customFormat="1" x14ac:dyDescent="0.25">
      <c r="B22" s="591"/>
      <c r="C22" s="382"/>
      <c r="D22" s="382"/>
      <c r="E22" s="382"/>
      <c r="F22" s="382"/>
      <c r="G22" s="382"/>
      <c r="H22" s="382"/>
      <c r="I22" s="382"/>
      <c r="L22" s="726"/>
      <c r="M22" s="726"/>
    </row>
    <row r="23" spans="2:13" s="703" customFormat="1" x14ac:dyDescent="0.25">
      <c r="B23" s="704" t="s">
        <v>1228</v>
      </c>
      <c r="C23" s="382"/>
      <c r="D23" s="382"/>
      <c r="E23" s="382"/>
      <c r="F23" s="382"/>
      <c r="G23" s="382"/>
      <c r="H23" s="382"/>
      <c r="I23" s="382"/>
      <c r="L23" s="726"/>
      <c r="M23" s="726"/>
    </row>
    <row r="24" spans="2:13" x14ac:dyDescent="0.25">
      <c r="B24" s="591"/>
      <c r="C24" s="382"/>
      <c r="D24" s="382"/>
      <c r="E24" s="382"/>
      <c r="F24" s="382"/>
      <c r="G24" s="382"/>
      <c r="H24" s="382"/>
      <c r="I24" s="382"/>
    </row>
    <row r="25" spans="2:13" x14ac:dyDescent="0.25">
      <c r="B25" s="12" t="s">
        <v>1157</v>
      </c>
    </row>
    <row r="26" spans="2:13" ht="16.5" customHeight="1" x14ac:dyDescent="0.25">
      <c r="C26" s="598" t="s">
        <v>733</v>
      </c>
      <c r="F26" s="602"/>
    </row>
    <row r="27" spans="2:13" ht="16.5" customHeight="1" x14ac:dyDescent="0.25">
      <c r="C27" s="598" t="s">
        <v>734</v>
      </c>
      <c r="F27" s="602"/>
    </row>
    <row r="28" spans="2:13" ht="16.5" customHeight="1" thickBot="1" x14ac:dyDescent="0.3">
      <c r="C28" s="598" t="s">
        <v>1155</v>
      </c>
      <c r="F28" s="592">
        <f>F26+F27</f>
        <v>0</v>
      </c>
    </row>
    <row r="29" spans="2:13" ht="13.8" thickTop="1" x14ac:dyDescent="0.25">
      <c r="C29" s="598" t="s">
        <v>1229</v>
      </c>
    </row>
  </sheetData>
  <sheetProtection algorithmName="SHA-512" hashValue="ukCO5GinDwPqsJ9Nz6XEe6lWeL3u9fCRahqaRCL7ZWXJt9jtYJ7ZKimbv6BefSEWQtIm3S+Gr+PjZnmMTbTG2Q==" saltValue="a77yxaX2+3UQFrwr+atvkA==" spinCount="100000" sheet="1" objects="1" scenarios="1" autoFilter="0"/>
  <mergeCells count="16">
    <mergeCell ref="B16:D16"/>
    <mergeCell ref="B17:D17"/>
    <mergeCell ref="B18:D18"/>
    <mergeCell ref="B19:D19"/>
    <mergeCell ref="M1:M3"/>
    <mergeCell ref="K8:L8"/>
    <mergeCell ref="B11:D11"/>
    <mergeCell ref="C7:E7"/>
    <mergeCell ref="G7:I7"/>
    <mergeCell ref="B12:D12"/>
    <mergeCell ref="B14:D14"/>
    <mergeCell ref="B1:I1"/>
    <mergeCell ref="B2:I2"/>
    <mergeCell ref="B4:I4"/>
    <mergeCell ref="C6:E6"/>
    <mergeCell ref="G6:I6"/>
  </mergeCells>
  <conditionalFormatting sqref="I3">
    <cfRule type="containsText" dxfId="19" priority="2" stopIfTrue="1" operator="containsText" text="NA">
      <formula>NOT(ISERROR(SEARCH("NA",I3)))</formula>
    </cfRule>
  </conditionalFormatting>
  <conditionalFormatting sqref="M1:M3">
    <cfRule type="cellIs" dxfId="18" priority="1" stopIfTrue="1" operator="equal">
      <formula>"na"</formula>
    </cfRule>
  </conditionalFormatting>
  <dataValidations count="2">
    <dataValidation type="textLength" operator="equal" allowBlank="1" showInputMessage="1" showErrorMessage="1" errorTitle="Invalid data!" error="GASB number must be 4 digits." sqref="E12:I12" xr:uid="{39A31E75-5386-463F-90AD-001AE3BB95FB}">
      <formula1>4</formula1>
    </dataValidation>
    <dataValidation type="decimal" operator="greaterThanOrEqual" allowBlank="1" showInputMessage="1" showErrorMessage="1" errorTitle="Invalid Data" error="Amount cannot be negative" sqref="E16:I18 E14:I14" xr:uid="{CB981DC9-C5FB-41FD-9081-2A313DF13FD8}">
      <formula1>0</formula1>
    </dataValidation>
  </dataValidations>
  <hyperlinks>
    <hyperlink ref="B1:I1" location="Index!A1" display="Index!A1" xr:uid="{8B7589F7-AD4A-4100-9155-3B3E105621FD}"/>
    <hyperlink ref="B23" r:id="rId1" xr:uid="{B4AA1E1B-E1F8-44B1-880E-5B10B193C4F0}"/>
  </hyperlinks>
  <pageMargins left="0.7" right="0.45" top="0.5" bottom="0.5" header="0.3" footer="0.3"/>
  <pageSetup scale="84" fitToHeight="0" orientation="portrait" r:id="rId2"/>
  <headerFooter>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pageSetUpPr fitToPage="1"/>
  </sheetPr>
  <dimension ref="A1:S56"/>
  <sheetViews>
    <sheetView showGridLines="0" topLeftCell="B1" zoomScaleNormal="100" workbookViewId="0">
      <selection activeCell="D33" sqref="D33:E33"/>
    </sheetView>
  </sheetViews>
  <sheetFormatPr defaultColWidth="9.109375" defaultRowHeight="10.199999999999999" x14ac:dyDescent="0.2"/>
  <cols>
    <col min="1" max="1" width="0" style="52" hidden="1" customWidth="1"/>
    <col min="2" max="2" width="9" style="52" customWidth="1"/>
    <col min="3" max="3" width="1.5546875" style="52" customWidth="1"/>
    <col min="4" max="4" width="3.5546875" style="52" customWidth="1"/>
    <col min="5" max="5" width="14.88671875" style="52" customWidth="1"/>
    <col min="6" max="7" width="1.5546875" style="52" customWidth="1"/>
    <col min="8" max="8" width="14" style="52" customWidth="1"/>
    <col min="9" max="9" width="1.5546875" style="52" customWidth="1"/>
    <col min="10" max="10" width="2" style="52" customWidth="1"/>
    <col min="11" max="11" width="12.5546875" style="52" customWidth="1"/>
    <col min="12" max="12" width="7.5546875" style="52" customWidth="1"/>
    <col min="13" max="13" width="19.44140625" style="52" customWidth="1"/>
    <col min="14" max="14" width="4.5546875" style="52" customWidth="1"/>
    <col min="15" max="21" width="1.5546875" style="52" customWidth="1"/>
    <col min="22" max="16384" width="9.109375" style="52"/>
  </cols>
  <sheetData>
    <row r="1" spans="2:14" s="40" customFormat="1" ht="25.2" customHeight="1" x14ac:dyDescent="0.3">
      <c r="B1" s="854" t="str">
        <f>+Index!$A$1</f>
        <v>Office of the State Controller</v>
      </c>
      <c r="C1" s="854"/>
      <c r="D1" s="854"/>
      <c r="E1" s="854"/>
      <c r="F1" s="854"/>
      <c r="G1" s="854"/>
      <c r="H1" s="854"/>
      <c r="I1" s="854"/>
      <c r="J1" s="854"/>
      <c r="K1" s="854"/>
      <c r="L1" s="854"/>
      <c r="M1" s="854"/>
      <c r="N1" s="804" t="str">
        <f>IF(Index!$B$56="na","NA","")</f>
        <v/>
      </c>
    </row>
    <row r="2" spans="2:14" s="40" customFormat="1" ht="15" customHeight="1" x14ac:dyDescent="0.3">
      <c r="B2" s="1025" t="str">
        <f>+Index!$A$2</f>
        <v>2022 ACFR Worksheets for Nonmajor Component Units</v>
      </c>
      <c r="C2" s="1025"/>
      <c r="D2" s="1025"/>
      <c r="E2" s="1025"/>
      <c r="F2" s="1025"/>
      <c r="G2" s="1025"/>
      <c r="H2" s="1025"/>
      <c r="I2" s="1025"/>
      <c r="J2" s="1025"/>
      <c r="K2" s="1025"/>
      <c r="L2" s="1025"/>
      <c r="M2" s="1025"/>
      <c r="N2" s="804"/>
    </row>
    <row r="3" spans="2:14" s="40" customFormat="1" ht="15" customHeight="1" x14ac:dyDescent="0.3">
      <c r="B3" s="1026" t="s">
        <v>736</v>
      </c>
      <c r="C3" s="1026"/>
      <c r="D3" s="1026"/>
      <c r="E3" s="1026"/>
      <c r="F3" s="1026"/>
      <c r="G3" s="1026"/>
      <c r="H3" s="1026"/>
      <c r="I3" s="1026"/>
      <c r="J3" s="1026"/>
      <c r="K3" s="1026"/>
      <c r="L3" s="1026"/>
      <c r="M3" s="1026"/>
      <c r="N3" s="804"/>
    </row>
    <row r="4" spans="2:14" s="41" customFormat="1" ht="15" customHeight="1" x14ac:dyDescent="0.25"/>
    <row r="5" spans="2:14" s="41" customFormat="1" ht="15" customHeight="1" x14ac:dyDescent="0.25">
      <c r="D5" s="1024"/>
      <c r="E5" s="1024"/>
      <c r="F5" s="1024"/>
      <c r="H5" s="43" t="s">
        <v>357</v>
      </c>
      <c r="K5" s="908" t="str">
        <f>Index!$D$10</f>
        <v>0A</v>
      </c>
      <c r="L5" s="908"/>
      <c r="M5" s="908"/>
      <c r="N5" s="908"/>
    </row>
    <row r="6" spans="2:14" s="41" customFormat="1" ht="15" customHeight="1" x14ac:dyDescent="0.25">
      <c r="H6" s="43" t="s">
        <v>358</v>
      </c>
      <c r="K6" s="908" t="str">
        <f>Index!$D$11</f>
        <v>NC Housing Finance Agency</v>
      </c>
      <c r="L6" s="908"/>
      <c r="M6" s="908"/>
      <c r="N6" s="908"/>
    </row>
    <row r="7" spans="2:14" s="41" customFormat="1" ht="15" customHeight="1" x14ac:dyDescent="0.25">
      <c r="B7" s="41" t="s">
        <v>20</v>
      </c>
      <c r="E7" s="44" t="s">
        <v>68</v>
      </c>
      <c r="F7" s="42"/>
      <c r="H7" s="43" t="s">
        <v>359</v>
      </c>
      <c r="K7" s="899" t="str">
        <f>CONCATENATE(Index!$D$14,"  ",Index!$D$16)</f>
        <v xml:space="preserve">  </v>
      </c>
      <c r="L7" s="899"/>
      <c r="M7" s="899"/>
      <c r="N7" s="899"/>
    </row>
    <row r="8" spans="2:14" s="41" customFormat="1" ht="15" customHeight="1" x14ac:dyDescent="0.25">
      <c r="E8" s="42"/>
      <c r="F8" s="42"/>
      <c r="H8" s="237" t="s">
        <v>196</v>
      </c>
      <c r="I8" s="238"/>
      <c r="J8" s="238"/>
      <c r="K8" s="909">
        <f>+Index!$D$15</f>
        <v>0</v>
      </c>
      <c r="L8" s="909"/>
      <c r="M8" s="909"/>
      <c r="N8" s="909"/>
    </row>
    <row r="9" spans="2:14" s="41" customFormat="1" ht="15" customHeight="1" thickBot="1" x14ac:dyDescent="0.3">
      <c r="B9" s="45"/>
      <c r="C9" s="45"/>
      <c r="D9" s="45"/>
      <c r="E9" s="45"/>
      <c r="F9" s="45"/>
      <c r="G9" s="45"/>
      <c r="H9" s="45"/>
      <c r="I9" s="45"/>
      <c r="J9" s="45"/>
      <c r="K9" s="45"/>
      <c r="L9" s="45"/>
      <c r="M9" s="45"/>
    </row>
    <row r="10" spans="2:14" s="41" customFormat="1" ht="15" customHeight="1" x14ac:dyDescent="0.25"/>
    <row r="11" spans="2:14" s="41" customFormat="1" ht="15" customHeight="1" x14ac:dyDescent="0.25">
      <c r="B11" s="41" t="s">
        <v>69</v>
      </c>
    </row>
    <row r="12" spans="2:14" s="41" customFormat="1" ht="15" customHeight="1" x14ac:dyDescent="0.25">
      <c r="B12" s="41" t="s">
        <v>623</v>
      </c>
    </row>
    <row r="13" spans="2:14" s="41" customFormat="1" ht="15" customHeight="1" x14ac:dyDescent="0.25">
      <c r="D13" s="1022"/>
      <c r="E13" s="1022"/>
      <c r="G13" s="1024"/>
      <c r="H13" s="1024"/>
    </row>
    <row r="14" spans="2:14" s="41" customFormat="1" ht="15" customHeight="1" x14ac:dyDescent="0.25">
      <c r="D14" s="1022" t="s">
        <v>70</v>
      </c>
      <c r="E14" s="1022"/>
      <c r="G14" s="1022"/>
      <c r="H14" s="1022"/>
    </row>
    <row r="15" spans="2:14" s="41" customFormat="1" ht="15" customHeight="1" x14ac:dyDescent="0.25">
      <c r="D15" s="47" t="s">
        <v>288</v>
      </c>
      <c r="E15" s="48"/>
      <c r="G15" s="49"/>
      <c r="H15" s="339"/>
    </row>
    <row r="16" spans="2:14" s="41" customFormat="1" ht="15" customHeight="1" x14ac:dyDescent="0.25">
      <c r="B16" s="46" t="s">
        <v>65</v>
      </c>
      <c r="C16" s="46"/>
      <c r="D16" s="1022" t="s">
        <v>1008</v>
      </c>
      <c r="E16" s="1022"/>
      <c r="F16" s="46"/>
      <c r="G16" s="1022"/>
      <c r="H16" s="1022"/>
      <c r="I16" s="46"/>
    </row>
    <row r="17" spans="2:13" s="41" customFormat="1" ht="15" customHeight="1" x14ac:dyDescent="0.25">
      <c r="B17" s="46" t="s">
        <v>66</v>
      </c>
      <c r="C17" s="46"/>
      <c r="D17" s="502">
        <v>44378</v>
      </c>
      <c r="E17" s="502"/>
      <c r="F17" s="46"/>
      <c r="G17" s="49"/>
      <c r="H17" s="49"/>
      <c r="I17" s="46"/>
    </row>
    <row r="18" spans="2:13" s="41" customFormat="1" ht="15" customHeight="1" x14ac:dyDescent="0.25">
      <c r="B18" s="50" t="s">
        <v>286</v>
      </c>
      <c r="C18" s="46"/>
      <c r="D18" s="1022" t="s">
        <v>71</v>
      </c>
      <c r="E18" s="1022"/>
      <c r="F18" s="46"/>
      <c r="G18" s="340"/>
      <c r="H18" s="340"/>
      <c r="I18" s="50"/>
      <c r="J18" s="340" t="s">
        <v>67</v>
      </c>
      <c r="K18" s="340"/>
      <c r="L18" s="340"/>
      <c r="M18" s="340"/>
    </row>
    <row r="19" spans="2:13" s="41" customFormat="1" ht="18" customHeight="1" x14ac:dyDescent="0.25">
      <c r="B19" s="51"/>
      <c r="C19" s="42"/>
      <c r="D19" s="1021">
        <v>0</v>
      </c>
      <c r="E19" s="1021"/>
      <c r="G19" s="1023" t="s">
        <v>1363</v>
      </c>
      <c r="H19" s="1023"/>
      <c r="I19" s="1023"/>
      <c r="J19" s="1023"/>
      <c r="K19" s="1023"/>
      <c r="L19" s="1023"/>
      <c r="M19" s="1023"/>
    </row>
    <row r="20" spans="2:13" s="41" customFormat="1" ht="18" customHeight="1" x14ac:dyDescent="0.25">
      <c r="B20" s="51"/>
      <c r="C20" s="42"/>
      <c r="D20" s="1021"/>
      <c r="E20" s="1021"/>
      <c r="G20" s="1023" t="s">
        <v>1364</v>
      </c>
      <c r="H20" s="1023"/>
      <c r="I20" s="1023"/>
      <c r="J20" s="1023"/>
      <c r="K20" s="1023"/>
      <c r="L20" s="1023"/>
      <c r="M20" s="1023"/>
    </row>
    <row r="21" spans="2:13" s="41" customFormat="1" ht="18" customHeight="1" x14ac:dyDescent="0.25">
      <c r="B21" s="51"/>
      <c r="C21" s="42"/>
      <c r="D21" s="1021"/>
      <c r="E21" s="1021"/>
      <c r="G21" s="1023" t="s">
        <v>1365</v>
      </c>
      <c r="H21" s="1023"/>
      <c r="I21" s="1023"/>
      <c r="J21" s="1023"/>
      <c r="K21" s="1023"/>
      <c r="L21" s="1023"/>
      <c r="M21" s="1023"/>
    </row>
    <row r="22" spans="2:13" s="41" customFormat="1" ht="18" customHeight="1" x14ac:dyDescent="0.25">
      <c r="B22" s="51"/>
      <c r="C22" s="42"/>
      <c r="D22" s="1021"/>
      <c r="E22" s="1021"/>
      <c r="G22" s="1023" t="s">
        <v>1366</v>
      </c>
      <c r="H22" s="1023"/>
      <c r="I22" s="1023"/>
      <c r="J22" s="1023"/>
      <c r="K22" s="1023"/>
      <c r="L22" s="1023"/>
      <c r="M22" s="1023"/>
    </row>
    <row r="23" spans="2:13" s="41" customFormat="1" ht="18" customHeight="1" x14ac:dyDescent="0.25">
      <c r="B23" s="51"/>
      <c r="C23" s="42"/>
      <c r="D23" s="1021"/>
      <c r="E23" s="1021"/>
      <c r="G23" s="1023" t="s">
        <v>1361</v>
      </c>
      <c r="H23" s="1023"/>
      <c r="I23" s="1023"/>
      <c r="J23" s="1023"/>
      <c r="K23" s="1023"/>
      <c r="L23" s="1023"/>
      <c r="M23" s="1023"/>
    </row>
    <row r="24" spans="2:13" s="41" customFormat="1" ht="18" customHeight="1" x14ac:dyDescent="0.25">
      <c r="B24" s="51"/>
      <c r="C24" s="42"/>
      <c r="D24" s="1021"/>
      <c r="E24" s="1021"/>
      <c r="G24" s="1023" t="s">
        <v>1362</v>
      </c>
      <c r="H24" s="1023"/>
      <c r="I24" s="1023"/>
      <c r="J24" s="1023"/>
      <c r="K24" s="1023"/>
      <c r="L24" s="1023"/>
      <c r="M24" s="1023"/>
    </row>
    <row r="25" spans="2:13" s="41" customFormat="1" ht="18" customHeight="1" x14ac:dyDescent="0.25">
      <c r="B25" s="51"/>
      <c r="C25" s="42"/>
      <c r="D25" s="1020"/>
      <c r="E25" s="1020"/>
      <c r="G25" s="1028" t="s">
        <v>19</v>
      </c>
      <c r="H25" s="1028"/>
      <c r="I25" s="1028"/>
      <c r="J25" s="1028"/>
      <c r="K25" s="1028"/>
      <c r="L25" s="1028"/>
      <c r="M25" s="1028"/>
    </row>
    <row r="26" spans="2:13" s="41" customFormat="1" ht="18" customHeight="1" x14ac:dyDescent="0.25">
      <c r="B26" s="51"/>
      <c r="C26" s="42"/>
      <c r="D26" s="1020"/>
      <c r="E26" s="1020"/>
      <c r="G26" s="1028" t="s">
        <v>19</v>
      </c>
      <c r="H26" s="1028"/>
      <c r="I26" s="1028"/>
      <c r="J26" s="1028"/>
      <c r="K26" s="1028"/>
      <c r="L26" s="1028"/>
      <c r="M26" s="1028"/>
    </row>
    <row r="27" spans="2:13" s="41" customFormat="1" ht="18" customHeight="1" x14ac:dyDescent="0.25">
      <c r="B27" s="51"/>
      <c r="C27" s="42"/>
      <c r="D27" s="1020"/>
      <c r="E27" s="1020"/>
      <c r="G27" s="1028" t="s">
        <v>19</v>
      </c>
      <c r="H27" s="1028"/>
      <c r="I27" s="1028"/>
      <c r="J27" s="1028"/>
      <c r="K27" s="1028"/>
      <c r="L27" s="1028"/>
      <c r="M27" s="1028"/>
    </row>
    <row r="28" spans="2:13" s="41" customFormat="1" ht="18" customHeight="1" x14ac:dyDescent="0.25">
      <c r="B28" s="51"/>
      <c r="C28" s="42"/>
      <c r="D28" s="1020"/>
      <c r="E28" s="1020"/>
      <c r="G28" s="1028" t="s">
        <v>19</v>
      </c>
      <c r="H28" s="1028"/>
      <c r="I28" s="1028"/>
      <c r="J28" s="1028"/>
      <c r="K28" s="1028"/>
      <c r="L28" s="1028"/>
      <c r="M28" s="1028"/>
    </row>
    <row r="29" spans="2:13" s="41" customFormat="1" ht="18" customHeight="1" x14ac:dyDescent="0.25">
      <c r="B29" s="51"/>
      <c r="C29" s="42"/>
      <c r="D29" s="1020"/>
      <c r="E29" s="1020"/>
      <c r="G29" s="1028" t="s">
        <v>19</v>
      </c>
      <c r="H29" s="1028"/>
      <c r="I29" s="1028"/>
      <c r="J29" s="1028"/>
      <c r="K29" s="1028"/>
      <c r="L29" s="1028"/>
      <c r="M29" s="1028"/>
    </row>
    <row r="30" spans="2:13" s="41" customFormat="1" ht="18" customHeight="1" x14ac:dyDescent="0.25">
      <c r="B30" s="51"/>
      <c r="C30" s="42"/>
      <c r="D30" s="1020"/>
      <c r="E30" s="1020"/>
      <c r="G30" s="1028" t="s">
        <v>19</v>
      </c>
      <c r="H30" s="1028"/>
      <c r="I30" s="1028"/>
      <c r="J30" s="1028"/>
      <c r="K30" s="1028"/>
      <c r="L30" s="1028"/>
      <c r="M30" s="1028"/>
    </row>
    <row r="31" spans="2:13" s="41" customFormat="1" ht="18" customHeight="1" x14ac:dyDescent="0.25">
      <c r="B31" s="51"/>
      <c r="C31" s="42"/>
      <c r="D31" s="1020"/>
      <c r="E31" s="1020"/>
      <c r="G31" s="1028" t="s">
        <v>19</v>
      </c>
      <c r="H31" s="1028"/>
      <c r="I31" s="1028"/>
      <c r="J31" s="1028"/>
      <c r="K31" s="1028"/>
      <c r="L31" s="1028"/>
      <c r="M31" s="1028"/>
    </row>
    <row r="32" spans="2:13" s="41" customFormat="1" ht="18" customHeight="1" x14ac:dyDescent="0.25">
      <c r="B32" s="51"/>
      <c r="C32" s="42"/>
      <c r="D32" s="1020"/>
      <c r="E32" s="1020"/>
      <c r="G32" s="1028" t="s">
        <v>19</v>
      </c>
      <c r="H32" s="1028"/>
      <c r="I32" s="1028"/>
      <c r="J32" s="1028"/>
      <c r="K32" s="1028"/>
      <c r="L32" s="1028"/>
      <c r="M32" s="1028"/>
    </row>
    <row r="33" spans="1:19" s="41" customFormat="1" ht="18" customHeight="1" x14ac:dyDescent="0.25">
      <c r="B33" s="737" t="s">
        <v>240</v>
      </c>
      <c r="C33" s="42"/>
      <c r="D33" s="1029">
        <f>SUM(D19:E32)</f>
        <v>0</v>
      </c>
      <c r="E33" s="1029"/>
      <c r="G33" s="1023" t="s">
        <v>19</v>
      </c>
      <c r="H33" s="1023"/>
      <c r="I33" s="1023"/>
      <c r="J33" s="1023"/>
      <c r="K33" s="1023"/>
      <c r="L33" s="1023"/>
      <c r="M33" s="1023"/>
    </row>
    <row r="35" spans="1:19" ht="15" customHeight="1" x14ac:dyDescent="0.25">
      <c r="H35" s="356" t="str">
        <f ca="1">IF(D33=ACFR_Stmts!F112," ","Problem: Must agree to Restatements line per ACFR_Stmts")</f>
        <v xml:space="preserve"> </v>
      </c>
      <c r="I35" s="357"/>
      <c r="J35" s="357"/>
      <c r="K35" s="357"/>
      <c r="L35" s="357"/>
      <c r="M35" s="357"/>
    </row>
    <row r="37" spans="1:19" ht="15" x14ac:dyDescent="0.25">
      <c r="A37" s="20" t="str">
        <f ca="1">MID(CELL("filename",B1),FIND("]",CELL("filename",B1))+1,256)</f>
        <v>430</v>
      </c>
      <c r="B37" s="20"/>
      <c r="D37"/>
    </row>
    <row r="38" spans="1:19" ht="15" x14ac:dyDescent="0.25">
      <c r="A38" s="20" t="s">
        <v>11</v>
      </c>
      <c r="B38" s="1027" t="s">
        <v>19</v>
      </c>
      <c r="C38" s="906"/>
      <c r="D38" s="906"/>
      <c r="E38" s="906"/>
      <c r="F38" s="906"/>
      <c r="G38" s="906"/>
      <c r="H38" s="906"/>
      <c r="I38" s="906"/>
      <c r="J38" s="906"/>
      <c r="K38" s="906"/>
      <c r="L38" s="906"/>
      <c r="M38" s="906"/>
      <c r="N38" s="906"/>
      <c r="O38" s="906"/>
      <c r="P38" s="906"/>
      <c r="Q38" s="906"/>
      <c r="R38" s="906"/>
      <c r="S38" s="906"/>
    </row>
    <row r="39" spans="1:19" ht="15" x14ac:dyDescent="0.25">
      <c r="A39" s="20" t="s">
        <v>12</v>
      </c>
      <c r="B39" s="5"/>
      <c r="C39" s="5"/>
      <c r="D39" s="5"/>
      <c r="E39" s="5"/>
      <c r="F39" s="5"/>
      <c r="G39" s="5"/>
      <c r="H39" s="5"/>
      <c r="I39" s="5"/>
      <c r="J39" s="5"/>
      <c r="K39" s="5"/>
      <c r="L39" s="5"/>
      <c r="M39" s="5"/>
      <c r="N39" s="5"/>
      <c r="O39" s="5"/>
      <c r="P39" s="5"/>
      <c r="Q39" s="5"/>
      <c r="R39" s="5"/>
      <c r="S39" s="5"/>
    </row>
    <row r="40" spans="1:19" ht="15" x14ac:dyDescent="0.25">
      <c r="A40" s="20" t="s">
        <v>13</v>
      </c>
      <c r="B40" s="557"/>
      <c r="C40" s="383"/>
      <c r="D40" s="383"/>
      <c r="E40" s="383"/>
      <c r="F40" s="383"/>
      <c r="G40" s="383"/>
      <c r="H40" s="383"/>
      <c r="J40"/>
    </row>
    <row r="41" spans="1:19" s="41" customFormat="1" ht="15" x14ac:dyDescent="0.25">
      <c r="A41" s="20" t="s">
        <v>14</v>
      </c>
      <c r="B41" s="12"/>
      <c r="C41"/>
      <c r="D41"/>
      <c r="E41"/>
      <c r="F41"/>
      <c r="G41"/>
      <c r="H41"/>
      <c r="I41"/>
      <c r="J41"/>
      <c r="K41"/>
      <c r="L41"/>
      <c r="M41"/>
      <c r="N41"/>
      <c r="O41"/>
      <c r="P41"/>
      <c r="Q41"/>
      <c r="R41"/>
      <c r="S41"/>
    </row>
    <row r="42" spans="1:19" s="41" customFormat="1" ht="15" x14ac:dyDescent="0.25">
      <c r="A42" s="20" t="s">
        <v>15</v>
      </c>
      <c r="B42" s="12"/>
      <c r="C42"/>
      <c r="D42"/>
      <c r="E42"/>
      <c r="F42"/>
      <c r="G42"/>
      <c r="H42"/>
      <c r="I42"/>
      <c r="J42"/>
      <c r="K42"/>
      <c r="L42"/>
      <c r="M42"/>
      <c r="N42"/>
      <c r="O42"/>
      <c r="P42"/>
      <c r="Q42"/>
      <c r="R42"/>
      <c r="S42"/>
    </row>
    <row r="43" spans="1:19" s="41" customFormat="1" ht="15" x14ac:dyDescent="0.25">
      <c r="A43" s="20" t="s">
        <v>16</v>
      </c>
      <c r="B43" s="12"/>
      <c r="D43"/>
    </row>
    <row r="44" spans="1:19" s="41" customFormat="1" ht="15" x14ac:dyDescent="0.25">
      <c r="A44" s="20" t="s">
        <v>17</v>
      </c>
      <c r="B44" s="20"/>
      <c r="D44"/>
    </row>
    <row r="45" spans="1:19" s="41" customFormat="1" ht="15" x14ac:dyDescent="0.25">
      <c r="A45" s="20" t="s">
        <v>18</v>
      </c>
      <c r="B45" s="20"/>
      <c r="D45"/>
    </row>
    <row r="46" spans="1:19" s="41" customFormat="1" ht="12.6" x14ac:dyDescent="0.25"/>
    <row r="47" spans="1:19" s="41" customFormat="1" ht="12.6" x14ac:dyDescent="0.25"/>
    <row r="48" spans="1:19" s="41" customFormat="1" ht="12.6" x14ac:dyDescent="0.25"/>
    <row r="49" s="41" customFormat="1" ht="12.6" x14ac:dyDescent="0.25"/>
    <row r="50" s="41" customFormat="1" ht="12.6" x14ac:dyDescent="0.25"/>
    <row r="51" s="41" customFormat="1" ht="12.6" x14ac:dyDescent="0.25"/>
    <row r="52" s="41" customFormat="1" ht="12.6" x14ac:dyDescent="0.25"/>
    <row r="53" s="41" customFormat="1" ht="12.6" x14ac:dyDescent="0.25"/>
    <row r="54" s="41" customFormat="1" ht="12.6" x14ac:dyDescent="0.25"/>
    <row r="55" s="41" customFormat="1" ht="12.6" x14ac:dyDescent="0.25"/>
    <row r="56" s="41" customFormat="1" ht="12.6" x14ac:dyDescent="0.25"/>
  </sheetData>
  <sheetProtection algorithmName="SHA-512" hashValue="YY9kLfRoajw76xvYFkATibDN40JzbNf0KR39yCFtV0e6EtvVnZlncgF4O5Wq3PwIkWptfKYaw9NYeIPh69Zj9w==" saltValue="+FaxxKlx6qN64DZGS39SFw==" spinCount="100000" sheet="1" objects="1" scenarios="1" autoFilter="0"/>
  <mergeCells count="46">
    <mergeCell ref="G20:M20"/>
    <mergeCell ref="G21:M21"/>
    <mergeCell ref="G22:M22"/>
    <mergeCell ref="G23:M23"/>
    <mergeCell ref="D23:E23"/>
    <mergeCell ref="D21:E21"/>
    <mergeCell ref="D20:E20"/>
    <mergeCell ref="G24:M24"/>
    <mergeCell ref="D26:E26"/>
    <mergeCell ref="D27:E27"/>
    <mergeCell ref="D25:E25"/>
    <mergeCell ref="B38:S38"/>
    <mergeCell ref="G31:M31"/>
    <mergeCell ref="G32:M32"/>
    <mergeCell ref="G33:M33"/>
    <mergeCell ref="G27:M27"/>
    <mergeCell ref="G28:M28"/>
    <mergeCell ref="G29:M29"/>
    <mergeCell ref="G30:M30"/>
    <mergeCell ref="G25:M25"/>
    <mergeCell ref="G26:M26"/>
    <mergeCell ref="D33:E33"/>
    <mergeCell ref="D28:E28"/>
    <mergeCell ref="B2:M2"/>
    <mergeCell ref="K5:N5"/>
    <mergeCell ref="K6:N6"/>
    <mergeCell ref="B1:M1"/>
    <mergeCell ref="B3:M3"/>
    <mergeCell ref="D5:F5"/>
    <mergeCell ref="K7:N7"/>
    <mergeCell ref="D19:E19"/>
    <mergeCell ref="K8:N8"/>
    <mergeCell ref="G16:H16"/>
    <mergeCell ref="D14:E14"/>
    <mergeCell ref="G19:M19"/>
    <mergeCell ref="G13:H13"/>
    <mergeCell ref="D18:E18"/>
    <mergeCell ref="G14:H14"/>
    <mergeCell ref="D13:E13"/>
    <mergeCell ref="D16:E16"/>
    <mergeCell ref="D29:E29"/>
    <mergeCell ref="D30:E30"/>
    <mergeCell ref="D31:E31"/>
    <mergeCell ref="D32:E32"/>
    <mergeCell ref="D22:E22"/>
    <mergeCell ref="D24:E24"/>
  </mergeCells>
  <phoneticPr fontId="12" type="noConversion"/>
  <conditionalFormatting sqref="N1:N3">
    <cfRule type="cellIs" dxfId="17" priority="1" stopIfTrue="1" operator="equal">
      <formula>"na"</formula>
    </cfRule>
  </conditionalFormatting>
  <hyperlinks>
    <hyperlink ref="B1:M1" location="Index!A1" display="Index!A1" xr:uid="{00000000-0004-0000-0E00-000000000000}"/>
  </hyperlinks>
  <pageMargins left="0.95" right="0.45" top="0.5" bottom="0.5" header="0.3" footer="0.3"/>
  <pageSetup scale="97" orientation="portrait" r:id="rId1"/>
  <headerFooter>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11">
    <pageSetUpPr fitToPage="1"/>
  </sheetPr>
  <dimension ref="A1:AC55"/>
  <sheetViews>
    <sheetView showGridLines="0" topLeftCell="B1" zoomScaleNormal="100" workbookViewId="0">
      <selection activeCell="Y26" sqref="Y26"/>
    </sheetView>
  </sheetViews>
  <sheetFormatPr defaultColWidth="9.109375" defaultRowHeight="15.6" x14ac:dyDescent="0.3"/>
  <cols>
    <col min="1" max="1" width="9.109375" style="84" hidden="1" customWidth="1"/>
    <col min="2" max="2" width="13.5546875" style="84" customWidth="1"/>
    <col min="3" max="3" width="1.5546875" style="84" customWidth="1"/>
    <col min="4" max="4" width="7.5546875" style="84" bestFit="1" customWidth="1"/>
    <col min="5" max="5" width="1.5546875" style="84" customWidth="1"/>
    <col min="6" max="6" width="8.5546875" style="84" customWidth="1"/>
    <col min="7" max="7" width="1.5546875" style="84" customWidth="1"/>
    <col min="8" max="8" width="14.44140625" style="84" customWidth="1"/>
    <col min="9" max="9" width="1.33203125" style="84" customWidth="1"/>
    <col min="10" max="10" width="15.44140625" style="84" customWidth="1"/>
    <col min="11" max="11" width="1.33203125" style="84" customWidth="1"/>
    <col min="12" max="12" width="13.44140625" style="84" customWidth="1"/>
    <col min="13" max="13" width="1" style="84" customWidth="1"/>
    <col min="14" max="14" width="13.44140625" style="84" customWidth="1"/>
    <col min="15" max="15" width="1.33203125" style="84" customWidth="1"/>
    <col min="16" max="16" width="36.44140625" style="84" customWidth="1"/>
    <col min="17" max="17" width="4.5546875" style="84" customWidth="1"/>
    <col min="18" max="18" width="2" style="85" customWidth="1"/>
    <col min="19" max="21" width="5.88671875" style="85" customWidth="1"/>
    <col min="22" max="22" width="0.88671875" style="84" customWidth="1"/>
    <col min="23" max="23" width="4.44140625" style="84" customWidth="1"/>
    <col min="24" max="24" width="6.44140625" style="84" customWidth="1"/>
    <col min="25" max="26" width="7.44140625" style="84" customWidth="1"/>
    <col min="27" max="27" width="12.44140625" style="84" customWidth="1"/>
    <col min="28" max="28" width="7.88671875" style="84" customWidth="1"/>
    <col min="29" max="16384" width="9.109375" style="84"/>
  </cols>
  <sheetData>
    <row r="1" spans="2:28" s="54" customFormat="1" ht="25.2" customHeight="1" x14ac:dyDescent="0.3">
      <c r="B1" s="854" t="str">
        <f>+Index!$A$1</f>
        <v>Office of the State Controller</v>
      </c>
      <c r="C1" s="854"/>
      <c r="D1" s="854"/>
      <c r="E1" s="854"/>
      <c r="F1" s="854"/>
      <c r="G1" s="854"/>
      <c r="H1" s="854"/>
      <c r="I1" s="854"/>
      <c r="J1" s="854"/>
      <c r="K1" s="854"/>
      <c r="L1" s="854"/>
      <c r="M1" s="854"/>
      <c r="N1" s="854"/>
      <c r="O1" s="854"/>
      <c r="P1" s="854"/>
      <c r="Q1" s="803" t="str">
        <f>IF(Index!$B$57="na","NA","")</f>
        <v/>
      </c>
      <c r="R1" s="53"/>
      <c r="S1" s="53"/>
      <c r="T1" s="53"/>
      <c r="U1" s="53"/>
    </row>
    <row r="2" spans="2:28" s="54" customFormat="1" ht="15" customHeight="1" x14ac:dyDescent="0.3">
      <c r="B2" s="1033" t="str">
        <f>+Index!$A$2</f>
        <v>2022 ACFR Worksheets for Nonmajor Component Units</v>
      </c>
      <c r="C2" s="1033"/>
      <c r="D2" s="1033"/>
      <c r="E2" s="1033"/>
      <c r="F2" s="1033"/>
      <c r="G2" s="1033"/>
      <c r="H2" s="1033"/>
      <c r="I2" s="1033"/>
      <c r="J2" s="1033"/>
      <c r="K2" s="1033"/>
      <c r="L2" s="1033"/>
      <c r="M2" s="1033"/>
      <c r="N2" s="1033"/>
      <c r="O2" s="1033"/>
      <c r="P2" s="1033"/>
      <c r="Q2" s="803"/>
      <c r="R2" s="53"/>
      <c r="S2" s="53"/>
      <c r="T2" s="53"/>
      <c r="U2" s="53"/>
    </row>
    <row r="3" spans="2:28" s="54" customFormat="1" ht="15" customHeight="1" x14ac:dyDescent="0.3">
      <c r="B3" s="1033" t="s">
        <v>634</v>
      </c>
      <c r="C3" s="1033"/>
      <c r="D3" s="1033"/>
      <c r="E3" s="1033"/>
      <c r="F3" s="1033"/>
      <c r="G3" s="1033"/>
      <c r="H3" s="1033"/>
      <c r="I3" s="1033"/>
      <c r="J3" s="1033"/>
      <c r="K3" s="1033"/>
      <c r="L3" s="1033"/>
      <c r="M3" s="1033"/>
      <c r="N3" s="1033"/>
      <c r="O3" s="1033"/>
      <c r="P3" s="1033"/>
      <c r="Q3" s="803"/>
      <c r="R3" s="53"/>
      <c r="S3" s="53"/>
      <c r="T3" s="53"/>
      <c r="U3" s="53"/>
    </row>
    <row r="4" spans="2:28" s="54" customFormat="1" ht="15" customHeight="1" x14ac:dyDescent="0.3">
      <c r="B4" s="1033" t="s">
        <v>1227</v>
      </c>
      <c r="C4" s="1033"/>
      <c r="D4" s="1033"/>
      <c r="E4" s="1033"/>
      <c r="F4" s="1033"/>
      <c r="G4" s="1033"/>
      <c r="H4" s="1033"/>
      <c r="I4" s="1033"/>
      <c r="J4" s="1033"/>
      <c r="K4" s="1033"/>
      <c r="L4" s="1033"/>
      <c r="M4" s="1033"/>
      <c r="N4" s="1033"/>
      <c r="O4" s="1033"/>
      <c r="P4" s="1033"/>
      <c r="R4" s="53"/>
      <c r="S4" s="53"/>
      <c r="T4" s="53"/>
      <c r="U4" s="53"/>
    </row>
    <row r="5" spans="2:28" s="57" customFormat="1" ht="15" customHeight="1" x14ac:dyDescent="0.25">
      <c r="B5" s="55"/>
      <c r="C5" s="56"/>
      <c r="D5" s="56"/>
      <c r="E5" s="56"/>
      <c r="F5" s="56"/>
      <c r="G5" s="56"/>
      <c r="H5" s="56"/>
      <c r="I5" s="56"/>
      <c r="J5" s="56"/>
      <c r="K5" s="55"/>
      <c r="L5" s="56"/>
      <c r="M5" s="56"/>
      <c r="N5" s="56"/>
      <c r="O5" s="56"/>
      <c r="P5" s="56"/>
      <c r="R5" s="58"/>
      <c r="S5" s="58"/>
      <c r="T5" s="58"/>
      <c r="U5" s="58"/>
    </row>
    <row r="6" spans="2:28" s="57" customFormat="1" ht="15" customHeight="1" x14ac:dyDescent="0.25">
      <c r="B6" s="59"/>
      <c r="D6" s="1031"/>
      <c r="E6" s="1031"/>
      <c r="F6" s="1031"/>
      <c r="G6" s="1031"/>
      <c r="H6" s="60"/>
      <c r="L6" s="39" t="s">
        <v>357</v>
      </c>
      <c r="M6" s="39"/>
      <c r="N6" s="39"/>
      <c r="O6" s="908" t="str">
        <f>Index!$D$10</f>
        <v>0A</v>
      </c>
      <c r="P6" s="908"/>
      <c r="Q6" s="908"/>
      <c r="R6" s="58"/>
      <c r="S6" s="58"/>
      <c r="T6" s="58"/>
      <c r="U6" s="58"/>
    </row>
    <row r="7" spans="2:28" s="57" customFormat="1" ht="15" customHeight="1" x14ac:dyDescent="0.25">
      <c r="B7" s="59"/>
      <c r="D7" s="1031"/>
      <c r="E7" s="1031"/>
      <c r="F7" s="1031"/>
      <c r="G7" s="1031"/>
      <c r="H7" s="1031"/>
      <c r="L7" s="39" t="s">
        <v>358</v>
      </c>
      <c r="M7" s="39"/>
      <c r="N7" s="39"/>
      <c r="O7" s="908" t="str">
        <f>Index!$D$11</f>
        <v>NC Housing Finance Agency</v>
      </c>
      <c r="P7" s="908"/>
      <c r="Q7" s="908"/>
      <c r="R7" s="58"/>
      <c r="S7" s="58"/>
      <c r="T7" s="58"/>
      <c r="U7" s="58"/>
    </row>
    <row r="8" spans="2:28" s="57" customFormat="1" ht="15" customHeight="1" x14ac:dyDescent="0.25">
      <c r="B8" s="59" t="s">
        <v>72</v>
      </c>
      <c r="D8" s="1032">
        <f>+Index!D$13</f>
        <v>2611</v>
      </c>
      <c r="E8" s="1032"/>
      <c r="F8" s="1032"/>
      <c r="G8" s="1032"/>
      <c r="L8" s="39" t="s">
        <v>359</v>
      </c>
      <c r="M8" s="39"/>
      <c r="N8" s="39"/>
      <c r="O8" s="899" t="str">
        <f>CONCATENATE(Index!$D$14," ",Index!$D$16)</f>
        <v xml:space="preserve"> </v>
      </c>
      <c r="P8" s="899"/>
      <c r="Q8" s="899"/>
      <c r="R8" s="58"/>
      <c r="S8" s="58"/>
      <c r="T8" s="58"/>
      <c r="U8" s="58"/>
    </row>
    <row r="9" spans="2:28" s="57" customFormat="1" ht="15" customHeight="1" x14ac:dyDescent="0.25">
      <c r="B9" s="59"/>
      <c r="D9" s="232"/>
      <c r="E9" s="232"/>
      <c r="F9" s="232"/>
      <c r="G9" s="232"/>
      <c r="L9" s="237" t="s">
        <v>196</v>
      </c>
      <c r="M9" s="237"/>
      <c r="N9" s="237"/>
      <c r="O9" s="899">
        <f>+Index!$D$15</f>
        <v>0</v>
      </c>
      <c r="P9" s="899"/>
      <c r="Q9" s="899"/>
      <c r="R9" s="58"/>
      <c r="S9" s="58"/>
      <c r="T9" s="58"/>
      <c r="U9" s="58"/>
    </row>
    <row r="10" spans="2:28" s="57" customFormat="1" ht="15" customHeight="1" thickBot="1" x14ac:dyDescent="0.3">
      <c r="B10" s="61"/>
      <c r="C10" s="61"/>
      <c r="D10" s="61"/>
      <c r="E10" s="61"/>
      <c r="F10" s="61"/>
      <c r="G10" s="61"/>
      <c r="H10" s="61"/>
      <c r="I10" s="61"/>
      <c r="J10" s="61"/>
      <c r="K10" s="62"/>
      <c r="L10" s="61"/>
      <c r="M10" s="61"/>
      <c r="N10" s="61"/>
      <c r="O10" s="61"/>
      <c r="P10" s="61"/>
      <c r="R10" s="58"/>
      <c r="S10" s="58"/>
      <c r="T10" s="58"/>
      <c r="U10" s="58"/>
    </row>
    <row r="11" spans="2:28" s="57" customFormat="1" ht="15" customHeight="1" thickBot="1" x14ac:dyDescent="0.3">
      <c r="B11" s="342" t="s">
        <v>627</v>
      </c>
      <c r="C11" s="343"/>
      <c r="D11" s="64" t="s">
        <v>73</v>
      </c>
      <c r="E11" s="65"/>
      <c r="F11" s="64" t="s">
        <v>73</v>
      </c>
      <c r="I11" s="55"/>
      <c r="J11" s="1030" t="s">
        <v>74</v>
      </c>
      <c r="K11" s="1030"/>
      <c r="L11" s="1030"/>
      <c r="M11" s="1030"/>
      <c r="N11" s="1030"/>
      <c r="O11" s="66"/>
      <c r="R11" s="58"/>
      <c r="S11" s="58"/>
      <c r="T11" s="58"/>
      <c r="U11" s="58"/>
      <c r="W11" s="65"/>
      <c r="X11" s="65"/>
      <c r="Y11" s="65"/>
      <c r="Z11" s="65"/>
      <c r="AA11" s="65"/>
      <c r="AB11" s="65"/>
    </row>
    <row r="12" spans="2:28" s="57" customFormat="1" ht="15" customHeight="1" x14ac:dyDescent="0.25">
      <c r="B12" s="63" t="s">
        <v>75</v>
      </c>
      <c r="D12" s="64" t="s">
        <v>287</v>
      </c>
      <c r="E12" s="65"/>
      <c r="F12" s="64" t="s">
        <v>65</v>
      </c>
      <c r="I12" s="55"/>
      <c r="J12" s="65"/>
      <c r="K12" s="65"/>
      <c r="L12" s="795" t="s">
        <v>1422</v>
      </c>
      <c r="M12" s="64"/>
      <c r="N12" s="795" t="s">
        <v>1424</v>
      </c>
      <c r="O12" s="65"/>
      <c r="R12" s="58"/>
      <c r="S12" s="58"/>
      <c r="T12" s="58"/>
      <c r="U12" s="58"/>
      <c r="W12" s="65"/>
      <c r="X12" s="65"/>
      <c r="Y12" s="65"/>
      <c r="Z12" s="65"/>
      <c r="AA12" s="65"/>
      <c r="AB12" s="65"/>
    </row>
    <row r="13" spans="2:28" s="57" customFormat="1" ht="15" customHeight="1" thickBot="1" x14ac:dyDescent="0.3">
      <c r="B13" s="67" t="s">
        <v>76</v>
      </c>
      <c r="C13" s="63"/>
      <c r="D13" s="68" t="s">
        <v>286</v>
      </c>
      <c r="E13" s="65"/>
      <c r="F13" s="68" t="s">
        <v>286</v>
      </c>
      <c r="H13" s="67" t="s">
        <v>77</v>
      </c>
      <c r="J13" s="68" t="s">
        <v>78</v>
      </c>
      <c r="K13" s="69"/>
      <c r="L13" s="796" t="s">
        <v>1423</v>
      </c>
      <c r="M13" s="792"/>
      <c r="N13" s="796" t="s">
        <v>1425</v>
      </c>
      <c r="O13" s="69"/>
      <c r="P13" s="67" t="s">
        <v>79</v>
      </c>
      <c r="Q13" s="63" t="s">
        <v>19</v>
      </c>
      <c r="R13" s="58"/>
      <c r="S13" s="58"/>
      <c r="T13" s="58"/>
      <c r="U13" s="58"/>
      <c r="W13" s="65"/>
      <c r="X13" s="65"/>
      <c r="Y13" s="65"/>
      <c r="Z13" s="65"/>
      <c r="AA13" s="65"/>
      <c r="AB13" s="65"/>
    </row>
    <row r="14" spans="2:28" s="57" customFormat="1" ht="15" customHeight="1" x14ac:dyDescent="0.25">
      <c r="B14" s="70">
        <v>114600</v>
      </c>
      <c r="D14" s="71" t="s">
        <v>19</v>
      </c>
      <c r="E14" s="72"/>
      <c r="F14" s="71"/>
      <c r="G14" s="72"/>
      <c r="H14" s="73">
        <v>0</v>
      </c>
      <c r="J14" s="74" t="s">
        <v>19</v>
      </c>
      <c r="K14" s="65"/>
      <c r="L14" s="75" t="s">
        <v>19</v>
      </c>
      <c r="M14" s="793"/>
      <c r="N14" s="810" t="s">
        <v>19</v>
      </c>
      <c r="P14" s="76"/>
      <c r="Q14" s="77"/>
      <c r="R14" s="78"/>
      <c r="S14" s="79"/>
      <c r="T14" s="79"/>
      <c r="U14" s="79"/>
      <c r="W14" s="65"/>
      <c r="X14" s="65"/>
      <c r="Y14" s="65"/>
      <c r="Z14" s="65"/>
      <c r="AA14" s="80"/>
      <c r="AB14" s="65"/>
    </row>
    <row r="15" spans="2:28" s="57" customFormat="1" ht="15" customHeight="1" x14ac:dyDescent="0.25">
      <c r="B15" s="70">
        <v>114600</v>
      </c>
      <c r="D15" s="71" t="s">
        <v>19</v>
      </c>
      <c r="E15" s="72"/>
      <c r="F15" s="71"/>
      <c r="G15" s="72"/>
      <c r="H15" s="73"/>
      <c r="J15" s="74"/>
      <c r="K15" s="65"/>
      <c r="L15" s="75"/>
      <c r="M15" s="793"/>
      <c r="N15" s="810"/>
      <c r="P15" s="76"/>
      <c r="Q15" s="77"/>
      <c r="R15" s="78"/>
      <c r="S15" s="79"/>
      <c r="T15" s="79"/>
      <c r="U15" s="79"/>
      <c r="W15" s="65"/>
      <c r="X15" s="65"/>
      <c r="Y15" s="65"/>
      <c r="Z15" s="65"/>
      <c r="AA15" s="80"/>
      <c r="AB15" s="65"/>
    </row>
    <row r="16" spans="2:28" s="57" customFormat="1" ht="15" customHeight="1" x14ac:dyDescent="0.25">
      <c r="B16" s="70">
        <v>114600</v>
      </c>
      <c r="D16" s="71" t="s">
        <v>19</v>
      </c>
      <c r="E16" s="72"/>
      <c r="F16" s="71"/>
      <c r="G16" s="72"/>
      <c r="H16" s="73"/>
      <c r="J16" s="74"/>
      <c r="K16" s="65"/>
      <c r="L16" s="75"/>
      <c r="M16" s="793"/>
      <c r="N16" s="810"/>
      <c r="P16" s="76"/>
      <c r="Q16" s="77"/>
      <c r="R16" s="78"/>
      <c r="S16" s="79"/>
      <c r="T16" s="79"/>
      <c r="U16" s="79"/>
      <c r="W16" s="65"/>
      <c r="X16" s="65"/>
      <c r="Y16" s="65"/>
      <c r="Z16" s="65"/>
      <c r="AA16" s="80"/>
      <c r="AB16" s="65"/>
    </row>
    <row r="17" spans="2:29" s="57" customFormat="1" ht="15" customHeight="1" x14ac:dyDescent="0.25">
      <c r="B17" s="70">
        <v>114600</v>
      </c>
      <c r="D17" s="71" t="s">
        <v>19</v>
      </c>
      <c r="E17" s="72"/>
      <c r="F17" s="71"/>
      <c r="G17" s="72"/>
      <c r="H17" s="73"/>
      <c r="J17" s="74"/>
      <c r="K17" s="65"/>
      <c r="L17" s="75"/>
      <c r="M17" s="793"/>
      <c r="N17" s="810"/>
      <c r="P17" s="76"/>
      <c r="Q17" s="77"/>
      <c r="R17" s="78"/>
      <c r="S17" s="79"/>
      <c r="T17" s="79"/>
      <c r="U17" s="79"/>
      <c r="W17" s="65"/>
      <c r="X17" s="65"/>
      <c r="Y17" s="65"/>
      <c r="Z17" s="65"/>
      <c r="AA17" s="80"/>
      <c r="AB17" s="65"/>
    </row>
    <row r="18" spans="2:29" s="57" customFormat="1" ht="15" customHeight="1" x14ac:dyDescent="0.25">
      <c r="B18" s="70">
        <v>114600</v>
      </c>
      <c r="D18" s="71" t="s">
        <v>19</v>
      </c>
      <c r="E18" s="72"/>
      <c r="F18" s="71"/>
      <c r="G18" s="72"/>
      <c r="H18" s="73"/>
      <c r="J18" s="76"/>
      <c r="L18" s="81"/>
      <c r="M18" s="794"/>
      <c r="N18" s="810"/>
      <c r="P18" s="76"/>
      <c r="Q18" s="77"/>
      <c r="R18" s="78"/>
      <c r="S18" s="79"/>
      <c r="T18" s="79"/>
      <c r="U18" s="79"/>
      <c r="W18" s="65"/>
      <c r="X18" s="65"/>
      <c r="Y18" s="65"/>
      <c r="Z18" s="65"/>
      <c r="AA18" s="80"/>
      <c r="AB18" s="65"/>
    </row>
    <row r="19" spans="2:29" s="57" customFormat="1" ht="15" customHeight="1" x14ac:dyDescent="0.25">
      <c r="B19" s="70">
        <v>114600</v>
      </c>
      <c r="D19" s="71" t="s">
        <v>19</v>
      </c>
      <c r="E19" s="72"/>
      <c r="F19" s="71"/>
      <c r="G19" s="72"/>
      <c r="H19" s="73"/>
      <c r="J19" s="76"/>
      <c r="L19" s="81"/>
      <c r="M19" s="794"/>
      <c r="N19" s="810"/>
      <c r="P19" s="76"/>
      <c r="Q19" s="77"/>
      <c r="R19" s="78"/>
      <c r="S19" s="79"/>
      <c r="T19" s="79"/>
      <c r="U19" s="79"/>
      <c r="W19" s="65"/>
      <c r="X19" s="65"/>
      <c r="Y19" s="65"/>
      <c r="Z19" s="65"/>
      <c r="AA19" s="80"/>
      <c r="AB19" s="65"/>
    </row>
    <row r="20" spans="2:29" s="57" customFormat="1" ht="15" customHeight="1" x14ac:dyDescent="0.25">
      <c r="B20" s="70">
        <v>114600</v>
      </c>
      <c r="D20" s="71" t="s">
        <v>19</v>
      </c>
      <c r="E20" s="72"/>
      <c r="F20" s="71"/>
      <c r="G20" s="72"/>
      <c r="H20" s="73"/>
      <c r="J20" s="76"/>
      <c r="L20" s="81"/>
      <c r="M20" s="794"/>
      <c r="N20" s="810"/>
      <c r="P20" s="76"/>
      <c r="Q20" s="77"/>
      <c r="R20" s="78"/>
      <c r="S20" s="79"/>
      <c r="T20" s="79"/>
      <c r="U20" s="79"/>
      <c r="W20" s="65"/>
      <c r="X20" s="65"/>
      <c r="Y20" s="65"/>
      <c r="Z20" s="65"/>
      <c r="AA20" s="80"/>
      <c r="AB20" s="65"/>
    </row>
    <row r="21" spans="2:29" s="57" customFormat="1" ht="15" customHeight="1" x14ac:dyDescent="0.25">
      <c r="B21" s="70">
        <v>114600</v>
      </c>
      <c r="D21" s="71" t="s">
        <v>19</v>
      </c>
      <c r="E21" s="72"/>
      <c r="F21" s="71"/>
      <c r="G21" s="72"/>
      <c r="H21" s="73"/>
      <c r="J21" s="76"/>
      <c r="L21" s="81"/>
      <c r="M21" s="794"/>
      <c r="N21" s="810"/>
      <c r="P21" s="76"/>
      <c r="Q21" s="77"/>
      <c r="R21" s="78"/>
      <c r="S21" s="79"/>
      <c r="T21" s="79"/>
      <c r="U21" s="79"/>
      <c r="W21" s="65"/>
      <c r="X21" s="65"/>
      <c r="Y21" s="65"/>
      <c r="Z21" s="65"/>
      <c r="AA21" s="80"/>
      <c r="AB21" s="65"/>
    </row>
    <row r="22" spans="2:29" s="57" customFormat="1" ht="15" customHeight="1" x14ac:dyDescent="0.25">
      <c r="B22" s="70">
        <v>114600</v>
      </c>
      <c r="D22" s="71" t="s">
        <v>19</v>
      </c>
      <c r="E22" s="72"/>
      <c r="F22" s="71"/>
      <c r="G22" s="72"/>
      <c r="H22" s="73"/>
      <c r="J22" s="76"/>
      <c r="L22" s="81"/>
      <c r="M22" s="794"/>
      <c r="N22" s="810"/>
      <c r="P22" s="76"/>
      <c r="Q22" s="77"/>
      <c r="R22" s="78"/>
      <c r="S22" s="79"/>
      <c r="T22" s="79"/>
      <c r="U22" s="79"/>
      <c r="W22" s="65"/>
      <c r="X22" s="65"/>
      <c r="Y22" s="65"/>
      <c r="Z22" s="65"/>
      <c r="AA22" s="80"/>
      <c r="AB22" s="65"/>
    </row>
    <row r="23" spans="2:29" s="57" customFormat="1" ht="15" customHeight="1" x14ac:dyDescent="0.25">
      <c r="B23" s="70">
        <v>114600</v>
      </c>
      <c r="D23" s="71" t="s">
        <v>19</v>
      </c>
      <c r="E23" s="72"/>
      <c r="F23" s="71"/>
      <c r="G23" s="72"/>
      <c r="H23" s="73"/>
      <c r="J23" s="76"/>
      <c r="L23" s="81"/>
      <c r="M23" s="794"/>
      <c r="N23" s="810"/>
      <c r="P23" s="76"/>
      <c r="Q23" s="77"/>
      <c r="R23" s="78"/>
      <c r="S23" s="79"/>
      <c r="T23" s="79"/>
      <c r="U23" s="79"/>
      <c r="W23" s="65"/>
      <c r="X23" s="65"/>
      <c r="Y23" s="65"/>
      <c r="Z23" s="65"/>
      <c r="AA23" s="80"/>
      <c r="AB23" s="65"/>
    </row>
    <row r="24" spans="2:29" s="57" customFormat="1" ht="15" customHeight="1" x14ac:dyDescent="0.25">
      <c r="B24" s="70">
        <v>114600</v>
      </c>
      <c r="D24" s="71" t="s">
        <v>19</v>
      </c>
      <c r="E24" s="72"/>
      <c r="F24" s="71"/>
      <c r="G24" s="72"/>
      <c r="H24" s="73"/>
      <c r="J24" s="76"/>
      <c r="L24" s="81"/>
      <c r="M24" s="794"/>
      <c r="N24" s="810"/>
      <c r="P24" s="76"/>
      <c r="Q24" s="77"/>
      <c r="R24" s="78"/>
      <c r="S24" s="79"/>
      <c r="T24" s="79"/>
      <c r="U24" s="79"/>
      <c r="W24" s="65"/>
      <c r="X24" s="65"/>
      <c r="Y24" s="65"/>
      <c r="Z24" s="65"/>
      <c r="AA24" s="80"/>
      <c r="AB24" s="65"/>
    </row>
    <row r="25" spans="2:29" s="57" customFormat="1" ht="15" customHeight="1" x14ac:dyDescent="0.25">
      <c r="B25" s="70">
        <v>114600</v>
      </c>
      <c r="D25" s="71" t="s">
        <v>19</v>
      </c>
      <c r="E25" s="72"/>
      <c r="F25" s="71"/>
      <c r="G25" s="72"/>
      <c r="H25" s="73"/>
      <c r="J25" s="76"/>
      <c r="L25" s="81"/>
      <c r="M25" s="794"/>
      <c r="N25" s="810"/>
      <c r="P25" s="76"/>
      <c r="Q25" s="77"/>
      <c r="R25" s="78"/>
      <c r="S25" s="79"/>
      <c r="T25" s="79"/>
      <c r="U25" s="79"/>
      <c r="W25" s="65"/>
      <c r="X25" s="65"/>
      <c r="Y25" s="65"/>
      <c r="Z25" s="65"/>
      <c r="AA25" s="80"/>
      <c r="AB25" s="65"/>
    </row>
    <row r="26" spans="2:29" s="57" customFormat="1" ht="15" customHeight="1" thickBot="1" x14ac:dyDescent="0.3">
      <c r="B26" s="72"/>
      <c r="D26" s="63"/>
      <c r="E26" s="63"/>
      <c r="F26" s="63" t="s">
        <v>80</v>
      </c>
      <c r="G26" s="63"/>
      <c r="H26" s="82">
        <f>SUM(H14:H25)</f>
        <v>0</v>
      </c>
      <c r="J26" s="344" t="s">
        <v>713</v>
      </c>
      <c r="Q26" s="58"/>
      <c r="R26" s="58"/>
      <c r="S26" s="58"/>
      <c r="T26" s="58"/>
      <c r="U26" s="58"/>
      <c r="W26" s="65"/>
      <c r="X26" s="65"/>
      <c r="Y26" s="65"/>
      <c r="Z26" s="65"/>
      <c r="AA26" s="80"/>
      <c r="AB26" s="65"/>
    </row>
    <row r="27" spans="2:29" s="57" customFormat="1" ht="16.2" customHeight="1" x14ac:dyDescent="0.25">
      <c r="E27" s="63"/>
      <c r="F27" s="63"/>
      <c r="G27" s="63"/>
      <c r="J27" s="345" t="str">
        <f>IF(H26=ACFR_Stmts!F17," ", "Problem: Total must agree to Due from Primary Government per ACFR_Stmts")</f>
        <v xml:space="preserve"> </v>
      </c>
      <c r="K27" s="345"/>
      <c r="L27" s="345"/>
      <c r="M27" s="345"/>
      <c r="N27" s="345"/>
      <c r="O27" s="345"/>
      <c r="P27" s="345"/>
      <c r="R27" s="58"/>
      <c r="S27" s="58"/>
      <c r="T27" s="58"/>
      <c r="U27" s="58"/>
    </row>
    <row r="28" spans="2:29" s="57" customFormat="1" ht="15" customHeight="1" x14ac:dyDescent="0.25">
      <c r="B28" s="342" t="s">
        <v>1426</v>
      </c>
      <c r="C28" s="343"/>
      <c r="D28" s="348"/>
      <c r="E28" s="63"/>
      <c r="F28" s="63"/>
      <c r="G28" s="63"/>
      <c r="H28" s="89"/>
      <c r="L28" s="90"/>
      <c r="M28" s="90"/>
      <c r="N28" s="90"/>
      <c r="R28" s="58"/>
      <c r="S28" s="58"/>
      <c r="T28" s="58"/>
      <c r="U28" s="58"/>
      <c r="V28" s="58"/>
      <c r="X28" s="65"/>
      <c r="Y28" s="65"/>
      <c r="Z28" s="65"/>
      <c r="AA28" s="65"/>
      <c r="AB28" s="80"/>
      <c r="AC28" s="65"/>
    </row>
    <row r="29" spans="2:29" s="57" customFormat="1" ht="15" customHeight="1" x14ac:dyDescent="0.25">
      <c r="B29" s="70">
        <v>124100</v>
      </c>
      <c r="D29" s="71" t="s">
        <v>19</v>
      </c>
      <c r="E29" s="72"/>
      <c r="F29" s="71"/>
      <c r="G29" s="72"/>
      <c r="H29" s="73">
        <v>0</v>
      </c>
      <c r="J29" s="76"/>
      <c r="L29" s="81"/>
      <c r="M29" s="794"/>
      <c r="N29" s="810"/>
      <c r="P29" s="76"/>
      <c r="R29" s="58"/>
      <c r="S29" s="58"/>
      <c r="T29" s="58"/>
      <c r="U29" s="58"/>
      <c r="V29" s="58"/>
      <c r="X29" s="65"/>
      <c r="Y29" s="65"/>
      <c r="Z29" s="65"/>
      <c r="AA29" s="65"/>
      <c r="AB29" s="601"/>
      <c r="AC29" s="65"/>
    </row>
    <row r="30" spans="2:29" s="57" customFormat="1" ht="15" customHeight="1" x14ac:dyDescent="0.25">
      <c r="B30" s="70">
        <v>124100</v>
      </c>
      <c r="D30" s="71" t="s">
        <v>19</v>
      </c>
      <c r="E30" s="72"/>
      <c r="F30" s="71"/>
      <c r="G30" s="72"/>
      <c r="H30" s="73"/>
      <c r="J30" s="76"/>
      <c r="L30" s="81"/>
      <c r="M30" s="794"/>
      <c r="N30" s="810"/>
      <c r="P30" s="76"/>
      <c r="R30" s="58"/>
      <c r="S30" s="58"/>
      <c r="T30" s="58"/>
      <c r="U30" s="58"/>
      <c r="V30" s="58"/>
    </row>
    <row r="31" spans="2:29" s="57" customFormat="1" ht="15" customHeight="1" x14ac:dyDescent="0.25">
      <c r="B31" s="70">
        <v>124100</v>
      </c>
      <c r="D31" s="71" t="s">
        <v>19</v>
      </c>
      <c r="E31" s="72"/>
      <c r="F31" s="71"/>
      <c r="G31" s="72"/>
      <c r="H31" s="73"/>
      <c r="J31" s="76"/>
      <c r="L31" s="81"/>
      <c r="M31" s="794"/>
      <c r="N31" s="810"/>
      <c r="P31" s="76"/>
      <c r="R31" s="58"/>
      <c r="S31" s="58"/>
      <c r="T31" s="58"/>
      <c r="U31" s="58"/>
      <c r="V31" s="58"/>
    </row>
    <row r="32" spans="2:29" s="57" customFormat="1" ht="15" customHeight="1" thickBot="1" x14ac:dyDescent="0.3">
      <c r="E32" s="63"/>
      <c r="F32" s="63" t="s">
        <v>80</v>
      </c>
      <c r="G32" s="63"/>
      <c r="H32" s="82"/>
      <c r="J32" s="344" t="s">
        <v>1284</v>
      </c>
      <c r="R32" s="58"/>
      <c r="S32" s="58"/>
      <c r="T32" s="58"/>
      <c r="U32" s="58"/>
      <c r="V32" s="58"/>
      <c r="Y32" s="764" t="s">
        <v>19</v>
      </c>
    </row>
    <row r="33" spans="1:22" s="57" customFormat="1" ht="15" customHeight="1" x14ac:dyDescent="0.25">
      <c r="E33" s="63"/>
      <c r="F33" s="63"/>
      <c r="G33" s="63"/>
      <c r="J33" s="345" t="str">
        <f ca="1">IF(H32=ACFR_Stmts!F28, " ", "Problem: Total must agree to Restricted Due from Primary Government per ACFR_Stmts" )</f>
        <v xml:space="preserve"> </v>
      </c>
      <c r="K33" s="345"/>
      <c r="L33" s="345"/>
      <c r="M33" s="345"/>
      <c r="N33" s="345"/>
      <c r="O33" s="345"/>
      <c r="P33" s="345"/>
      <c r="R33" s="58"/>
      <c r="S33" s="58"/>
      <c r="T33" s="58"/>
      <c r="U33" s="58"/>
      <c r="V33" s="58"/>
    </row>
    <row r="34" spans="1:22" s="57" customFormat="1" ht="15" customHeight="1" x14ac:dyDescent="0.25">
      <c r="B34" s="83" t="s">
        <v>81</v>
      </c>
      <c r="E34" s="63"/>
      <c r="F34" s="63"/>
      <c r="G34" s="63"/>
      <c r="O34" s="63"/>
      <c r="R34" s="58"/>
      <c r="S34" s="58"/>
      <c r="T34" s="58"/>
      <c r="U34" s="58"/>
    </row>
    <row r="35" spans="1:22" s="57" customFormat="1" ht="15" customHeight="1" x14ac:dyDescent="0.25">
      <c r="E35" s="63"/>
      <c r="F35" s="63"/>
      <c r="G35" s="63"/>
      <c r="O35" s="63"/>
      <c r="R35" s="58"/>
      <c r="S35" s="58"/>
      <c r="T35" s="58"/>
      <c r="U35" s="58"/>
    </row>
    <row r="36" spans="1:22" s="57" customFormat="1" ht="15" customHeight="1" x14ac:dyDescent="0.25">
      <c r="E36" s="63"/>
      <c r="F36" s="63"/>
      <c r="G36" s="63"/>
      <c r="O36" s="63"/>
      <c r="R36" s="58"/>
      <c r="S36" s="58"/>
      <c r="T36" s="58"/>
      <c r="U36" s="58"/>
    </row>
    <row r="37" spans="1:22" s="57" customFormat="1" ht="15" customHeight="1" x14ac:dyDescent="0.25">
      <c r="E37" s="63"/>
      <c r="F37" s="63"/>
      <c r="G37" s="63"/>
      <c r="O37" s="63"/>
      <c r="R37" s="58"/>
      <c r="S37" s="58"/>
      <c r="T37" s="58"/>
      <c r="U37" s="58"/>
    </row>
    <row r="38" spans="1:22" s="57" customFormat="1" ht="15" customHeight="1" x14ac:dyDescent="0.25">
      <c r="A38" s="20" t="str">
        <f ca="1">MID(CELL("filename",A1),FIND("]",CELL("filename",A1))+1,256)</f>
        <v>515</v>
      </c>
      <c r="B38" s="20"/>
      <c r="E38" s="63"/>
      <c r="F38" s="63"/>
      <c r="G38" s="63"/>
      <c r="O38" s="63"/>
      <c r="R38" s="58"/>
      <c r="S38" s="58"/>
      <c r="T38" s="58"/>
      <c r="U38" s="58"/>
    </row>
    <row r="39" spans="1:22" s="57" customFormat="1" ht="15" customHeight="1" x14ac:dyDescent="0.25">
      <c r="A39" s="20" t="s">
        <v>9</v>
      </c>
      <c r="B39" s="20"/>
      <c r="E39" s="63"/>
      <c r="F39" s="63"/>
      <c r="G39" s="63"/>
      <c r="O39" s="63"/>
      <c r="R39" s="58"/>
      <c r="S39" s="58"/>
      <c r="T39" s="58"/>
      <c r="U39" s="58"/>
    </row>
    <row r="40" spans="1:22" ht="20.85" customHeight="1" x14ac:dyDescent="0.3">
      <c r="A40" s="20" t="s">
        <v>10</v>
      </c>
      <c r="B40" s="20"/>
    </row>
    <row r="41" spans="1:22" ht="20.85" customHeight="1" x14ac:dyDescent="0.3">
      <c r="A41" s="20" t="s">
        <v>11</v>
      </c>
      <c r="B41" s="20"/>
    </row>
    <row r="42" spans="1:22" ht="20.85" customHeight="1" x14ac:dyDescent="0.3">
      <c r="A42" s="20" t="s">
        <v>12</v>
      </c>
      <c r="B42" s="20"/>
    </row>
    <row r="43" spans="1:22" ht="20.85" customHeight="1" x14ac:dyDescent="0.3">
      <c r="A43" s="20" t="s">
        <v>13</v>
      </c>
      <c r="B43" s="20"/>
    </row>
    <row r="44" spans="1:22" ht="20.85" customHeight="1" x14ac:dyDescent="0.3">
      <c r="A44" s="20" t="s">
        <v>14</v>
      </c>
      <c r="B44" s="20"/>
      <c r="D44" s="86" t="s">
        <v>19</v>
      </c>
      <c r="E44" s="86"/>
      <c r="F44" s="86"/>
      <c r="G44" s="86"/>
      <c r="H44" s="86"/>
      <c r="I44" s="86"/>
      <c r="J44" s="86"/>
      <c r="K44" s="86"/>
    </row>
    <row r="45" spans="1:22" ht="20.85" customHeight="1" x14ac:dyDescent="0.3">
      <c r="A45" s="20" t="s">
        <v>15</v>
      </c>
      <c r="B45" s="20"/>
      <c r="D45" s="86" t="s">
        <v>19</v>
      </c>
      <c r="E45" s="86"/>
      <c r="F45" s="86"/>
      <c r="G45" s="86"/>
      <c r="L45" s="87" t="s">
        <v>19</v>
      </c>
      <c r="M45" s="87"/>
      <c r="N45" s="87"/>
      <c r="O45" s="87"/>
      <c r="Q45" s="86" t="s">
        <v>19</v>
      </c>
    </row>
    <row r="46" spans="1:22" ht="20.85" customHeight="1" x14ac:dyDescent="0.3">
      <c r="A46" s="20" t="s">
        <v>16</v>
      </c>
      <c r="B46" s="20"/>
    </row>
    <row r="47" spans="1:22" ht="20.85" customHeight="1" x14ac:dyDescent="0.3">
      <c r="A47" s="20" t="s">
        <v>17</v>
      </c>
      <c r="B47" s="20"/>
    </row>
    <row r="48" spans="1:22" ht="20.85" customHeight="1" x14ac:dyDescent="0.3">
      <c r="A48" s="20" t="s">
        <v>18</v>
      </c>
      <c r="B48" s="20"/>
    </row>
    <row r="49" spans="4:17" ht="20.85" customHeight="1" x14ac:dyDescent="0.3"/>
    <row r="50" spans="4:17" ht="20.85" customHeight="1" x14ac:dyDescent="0.3"/>
    <row r="51" spans="4:17" ht="20.85" customHeight="1" x14ac:dyDescent="0.3"/>
    <row r="52" spans="4:17" ht="20.85" customHeight="1" x14ac:dyDescent="0.3">
      <c r="D52" s="84" t="s">
        <v>19</v>
      </c>
    </row>
    <row r="53" spans="4:17" ht="20.85" customHeight="1" x14ac:dyDescent="0.3"/>
    <row r="54" spans="4:17" ht="20.85" customHeight="1" x14ac:dyDescent="0.3"/>
    <row r="55" spans="4:17" ht="20.85" customHeight="1" x14ac:dyDescent="0.3">
      <c r="D55" s="86" t="s">
        <v>19</v>
      </c>
      <c r="E55" s="86"/>
      <c r="F55" s="86"/>
      <c r="G55" s="86"/>
      <c r="L55" s="87" t="s">
        <v>19</v>
      </c>
      <c r="M55" s="87"/>
      <c r="N55" s="87"/>
      <c r="O55" s="87"/>
      <c r="Q55" s="86" t="s">
        <v>19</v>
      </c>
    </row>
  </sheetData>
  <sheetProtection algorithmName="SHA-512" hashValue="pxowyf73EAydtD21LGIxtYpibPPf2k4mIpDEy7MSbF/2ihp/hYqIbwUOkSsEOL5mIiUQacy5YmGlQOMcWxltrg==" saltValue="eF9PEatwquKgOEb56ytIhg==" spinCount="100000" sheet="1" objects="1" scenarios="1" autoFilter="0"/>
  <dataConsolidate/>
  <mergeCells count="12">
    <mergeCell ref="J11:N11"/>
    <mergeCell ref="O9:Q9"/>
    <mergeCell ref="B1:P1"/>
    <mergeCell ref="D6:G6"/>
    <mergeCell ref="O8:Q8"/>
    <mergeCell ref="D8:G8"/>
    <mergeCell ref="B3:P3"/>
    <mergeCell ref="B4:P4"/>
    <mergeCell ref="B2:P2"/>
    <mergeCell ref="D7:H7"/>
    <mergeCell ref="O6:Q6"/>
    <mergeCell ref="O7:Q7"/>
  </mergeCells>
  <phoneticPr fontId="12" type="noConversion"/>
  <conditionalFormatting sqref="Q1:Q3">
    <cfRule type="cellIs" dxfId="16" priority="1" stopIfTrue="1" operator="equal">
      <formula>"na"</formula>
    </cfRule>
  </conditionalFormatting>
  <dataValidations count="2">
    <dataValidation type="textLength" operator="equal" allowBlank="1" showInputMessage="1" showErrorMessage="1" errorTitle="Invalid data!" error="GASB number must be 4 digits." sqref="F14:F25" xr:uid="{00000000-0002-0000-0F00-000000000000}">
      <formula1>4</formula1>
    </dataValidation>
    <dataValidation type="textLength" operator="equal" allowBlank="1" showInputMessage="1" showErrorMessage="1" errorTitle="Invalid data!" error="GASB number must be 4 digits.  " sqref="F29:F31" xr:uid="{B45A1991-860C-4FF4-9323-8F38DC884D5B}">
      <formula1>4</formula1>
    </dataValidation>
  </dataValidations>
  <hyperlinks>
    <hyperlink ref="B1:P1" location="Index!A1" display="Index!A1" xr:uid="{00000000-0004-0000-0F00-000000000000}"/>
  </hyperlinks>
  <pageMargins left="0.95" right="0.45" top="0.5" bottom="0.5" header="0.3" footer="0.3"/>
  <pageSetup scale="91" orientation="landscape" r:id="rId1"/>
  <headerFooter>
    <oddFooter>&amp;R&amp;A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1000000}">
          <x14:formula1>
            <xm:f>Data!$A$15:$A$48</xm:f>
          </x14:formula1>
          <xm:sqref>D14:D25 D29:D31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AA18C-65B0-4CF9-9CA6-E3286EE7E1D3}">
  <sheetPr codeName="Sheet19"/>
  <dimension ref="A1:N48"/>
  <sheetViews>
    <sheetView zoomScaleNormal="100" workbookViewId="0">
      <selection activeCell="M23" sqref="M23"/>
    </sheetView>
  </sheetViews>
  <sheetFormatPr defaultRowHeight="13.2" x14ac:dyDescent="0.25"/>
  <cols>
    <col min="1" max="2" width="2.109375" customWidth="1"/>
  </cols>
  <sheetData>
    <row r="1" spans="1:14" ht="15.6" x14ac:dyDescent="0.3">
      <c r="A1" s="844" t="s">
        <v>275</v>
      </c>
      <c r="B1" s="844"/>
      <c r="C1" s="844"/>
      <c r="D1" s="844"/>
      <c r="E1" s="844"/>
      <c r="F1" s="844"/>
      <c r="G1" s="844"/>
      <c r="H1" s="844"/>
      <c r="I1" s="844"/>
      <c r="J1" s="844"/>
      <c r="K1" s="844"/>
      <c r="L1" s="844"/>
      <c r="M1" s="844"/>
      <c r="N1" s="844"/>
    </row>
    <row r="2" spans="1:14" ht="15.6" x14ac:dyDescent="0.3">
      <c r="A2" s="844" t="str">
        <f>CONCATENATE(YEAR(Data!A2)," ACFR Worksheets for Nonmajor Component Units")</f>
        <v>2022 ACFR Worksheets for Nonmajor Component Units</v>
      </c>
      <c r="B2" s="844"/>
      <c r="C2" s="844"/>
      <c r="D2" s="844"/>
      <c r="E2" s="844"/>
      <c r="F2" s="844"/>
      <c r="G2" s="844"/>
      <c r="H2" s="844"/>
      <c r="I2" s="844"/>
      <c r="J2" s="844"/>
      <c r="K2" s="844"/>
      <c r="L2" s="844"/>
      <c r="M2" s="844"/>
      <c r="N2" s="745"/>
    </row>
    <row r="3" spans="1:14" ht="16.2" thickBot="1" x14ac:dyDescent="0.35">
      <c r="A3" s="844" t="s">
        <v>1380</v>
      </c>
      <c r="B3" s="844"/>
      <c r="C3" s="844"/>
      <c r="D3" s="844"/>
      <c r="E3" s="844"/>
      <c r="F3" s="844"/>
      <c r="G3" s="844"/>
      <c r="H3" s="844"/>
      <c r="I3" s="844"/>
      <c r="J3" s="844"/>
      <c r="K3" s="844"/>
      <c r="L3" s="844"/>
      <c r="M3" s="844"/>
      <c r="N3" s="745"/>
    </row>
    <row r="4" spans="1:14" x14ac:dyDescent="0.25">
      <c r="B4" s="752"/>
      <c r="C4" s="753"/>
      <c r="D4" s="753"/>
      <c r="E4" s="753"/>
      <c r="F4" s="753"/>
      <c r="G4" s="753"/>
      <c r="H4" s="753"/>
      <c r="I4" s="753"/>
      <c r="J4" s="753"/>
      <c r="K4" s="753"/>
      <c r="L4" s="753"/>
      <c r="M4" s="754"/>
    </row>
    <row r="5" spans="1:14" x14ac:dyDescent="0.25">
      <c r="B5" s="755"/>
      <c r="C5" s="748"/>
      <c r="D5" s="748"/>
      <c r="E5" s="748"/>
      <c r="F5" s="748"/>
      <c r="G5" s="748"/>
      <c r="H5" s="748"/>
      <c r="I5" s="748"/>
      <c r="J5" s="748"/>
      <c r="K5" s="748"/>
      <c r="L5" s="748"/>
      <c r="M5" s="756"/>
    </row>
    <row r="6" spans="1:14" ht="14.4" thickBot="1" x14ac:dyDescent="0.3">
      <c r="B6" s="755"/>
      <c r="C6" s="757" t="s">
        <v>1367</v>
      </c>
      <c r="D6" s="757"/>
      <c r="E6" s="748"/>
      <c r="F6" s="748"/>
      <c r="G6" s="748"/>
      <c r="H6" s="748"/>
      <c r="I6" s="748"/>
      <c r="J6" s="748"/>
      <c r="K6" s="748"/>
      <c r="L6" s="748"/>
      <c r="M6" s="767" t="str">
        <f>AgyIdx</f>
        <v>0A</v>
      </c>
    </row>
    <row r="7" spans="1:14" ht="13.8" x14ac:dyDescent="0.25">
      <c r="B7" s="755"/>
      <c r="C7" s="757"/>
      <c r="D7" s="757"/>
      <c r="E7" s="748"/>
      <c r="F7" s="748"/>
      <c r="G7" s="748"/>
      <c r="H7" s="748"/>
      <c r="I7" s="748"/>
      <c r="J7" s="748"/>
      <c r="K7" s="748"/>
      <c r="L7" s="748"/>
      <c r="M7" s="756"/>
    </row>
    <row r="8" spans="1:14" ht="14.4" thickBot="1" x14ac:dyDescent="0.3">
      <c r="B8" s="755"/>
      <c r="C8" s="758" t="s">
        <v>1448</v>
      </c>
      <c r="D8" s="757"/>
      <c r="E8" s="748"/>
      <c r="F8" s="748"/>
      <c r="G8" s="748"/>
      <c r="H8" s="748"/>
      <c r="I8" s="748"/>
      <c r="J8" s="748"/>
      <c r="K8" s="748"/>
      <c r="L8" s="748"/>
      <c r="M8" s="759"/>
    </row>
    <row r="9" spans="1:14" ht="14.4" thickBot="1" x14ac:dyDescent="0.3">
      <c r="B9" s="755"/>
      <c r="C9" s="758" t="s">
        <v>1368</v>
      </c>
      <c r="D9" s="757"/>
      <c r="E9" s="748"/>
      <c r="F9" s="748"/>
      <c r="G9" s="748"/>
      <c r="H9" s="748"/>
      <c r="I9" s="748"/>
      <c r="J9" s="748"/>
      <c r="K9" s="748"/>
      <c r="L9" s="748"/>
      <c r="M9" s="760"/>
    </row>
    <row r="10" spans="1:14" ht="13.8" x14ac:dyDescent="0.25">
      <c r="B10" s="755"/>
      <c r="C10" s="758" t="s">
        <v>1449</v>
      </c>
      <c r="D10" s="757"/>
      <c r="E10" s="748"/>
      <c r="F10" s="748"/>
      <c r="G10" s="748"/>
      <c r="H10" s="748"/>
      <c r="I10" s="748"/>
      <c r="J10" s="748"/>
      <c r="K10" s="748"/>
      <c r="L10" s="748"/>
      <c r="M10" s="756"/>
    </row>
    <row r="11" spans="1:14" ht="13.8" x14ac:dyDescent="0.25">
      <c r="B11" s="755"/>
      <c r="C11" s="780" t="s">
        <v>1403</v>
      </c>
      <c r="D11" s="695"/>
      <c r="E11" s="695"/>
      <c r="F11" s="695"/>
      <c r="G11" s="695"/>
      <c r="H11" s="695"/>
      <c r="I11" s="695"/>
      <c r="J11" s="695"/>
      <c r="K11" s="695"/>
      <c r="L11" s="695"/>
      <c r="M11" s="762"/>
      <c r="N11" s="695"/>
    </row>
    <row r="12" spans="1:14" x14ac:dyDescent="0.25">
      <c r="B12" s="755"/>
      <c r="C12" s="761" t="s">
        <v>1369</v>
      </c>
      <c r="D12" s="761"/>
      <c r="E12" s="748"/>
      <c r="F12" s="748"/>
      <c r="G12" s="748"/>
      <c r="H12" s="748"/>
      <c r="I12" s="748"/>
      <c r="J12" s="748"/>
      <c r="K12" s="748"/>
      <c r="L12" s="748"/>
      <c r="M12" s="762" t="str">
        <f ca="1">IF(ACFR_Stmts!H1="NA","OK",IF(ACFR_Stmts!F33+ACFR_Stmts!F42=ACFR_Stmts!F60+ACFR_Stmts!F73+ACFR_Stmts!F82,"OK","ERROR"))</f>
        <v>OK</v>
      </c>
    </row>
    <row r="13" spans="1:14" x14ac:dyDescent="0.25">
      <c r="B13" s="755"/>
      <c r="C13" s="761" t="s">
        <v>1384</v>
      </c>
      <c r="D13" s="761"/>
      <c r="E13" s="748"/>
      <c r="F13" s="748"/>
      <c r="G13" s="748"/>
      <c r="H13" s="748"/>
      <c r="I13" s="748"/>
      <c r="J13" s="748"/>
      <c r="K13" s="748"/>
      <c r="L13" s="748"/>
      <c r="M13" s="762" t="str">
        <f ca="1">IF(ACFR_Stmts!H1="NA","OK",IF(ACFR_Stmts!F82=ACFR_Stmts!F113,"OK","ERROR"))</f>
        <v>ERROR</v>
      </c>
    </row>
    <row r="14" spans="1:14" x14ac:dyDescent="0.25">
      <c r="B14" s="755"/>
      <c r="C14" s="761" t="s">
        <v>1397</v>
      </c>
      <c r="D14" s="761"/>
      <c r="E14" s="748"/>
      <c r="F14" s="748"/>
      <c r="G14" s="748"/>
      <c r="H14" s="748"/>
      <c r="I14" s="748"/>
      <c r="J14" s="748"/>
      <c r="K14" s="748"/>
      <c r="L14" s="748"/>
      <c r="M14" s="766" t="str">
        <f ca="1">IF(Variances!K1="NA","OK",IF(Variances!C32+Variances!C40=Variances!C58+Variances!C71+Variances!C80,"OK","ERROR"))</f>
        <v>OK</v>
      </c>
    </row>
    <row r="15" spans="1:14" x14ac:dyDescent="0.25">
      <c r="B15" s="755"/>
      <c r="C15" s="761" t="s">
        <v>1398</v>
      </c>
      <c r="D15" s="761"/>
      <c r="E15" s="748"/>
      <c r="F15" s="748"/>
      <c r="G15" s="748"/>
      <c r="H15" s="748"/>
      <c r="I15" s="748"/>
      <c r="J15" s="748"/>
      <c r="K15" s="748"/>
      <c r="L15" s="748"/>
      <c r="M15" s="766" t="str">
        <f>IF(Variances!K1="NA","OK",IF(Variances!E32+Variances!E40=Variances!E58+Variances!E71+Variances!E80,"OK","ERROR"))</f>
        <v>OK</v>
      </c>
    </row>
    <row r="16" spans="1:14" x14ac:dyDescent="0.25">
      <c r="B16" s="755"/>
      <c r="C16" s="761" t="s">
        <v>1370</v>
      </c>
      <c r="D16" s="761"/>
      <c r="E16" s="748"/>
      <c r="F16" s="748"/>
      <c r="G16" s="748"/>
      <c r="H16" s="748"/>
      <c r="I16" s="748"/>
      <c r="J16" s="748"/>
      <c r="K16" s="748"/>
      <c r="L16" s="748"/>
      <c r="M16" s="766" t="str">
        <f ca="1">IF(Variances!K1="NA","OK",IF(Variances!C80=Variances!C111,"OK","ERROR"))</f>
        <v>ERROR</v>
      </c>
    </row>
    <row r="17" spans="2:14" x14ac:dyDescent="0.25">
      <c r="B17" s="755"/>
      <c r="C17" s="761" t="s">
        <v>1371</v>
      </c>
      <c r="D17" s="761"/>
      <c r="E17" s="748"/>
      <c r="F17" s="748"/>
      <c r="G17" s="748"/>
      <c r="H17" s="748"/>
      <c r="I17" s="748"/>
      <c r="J17" s="748"/>
      <c r="K17" s="748"/>
      <c r="L17" s="748"/>
      <c r="M17" s="766" t="str">
        <f>IF(Variances!K1="NA","OK",IF(Variances!E80=Variances!E111,"OK","ERROR"))</f>
        <v>OK</v>
      </c>
    </row>
    <row r="18" spans="2:14" x14ac:dyDescent="0.25">
      <c r="B18" s="755"/>
      <c r="C18" s="761" t="s">
        <v>1372</v>
      </c>
      <c r="D18" s="761"/>
      <c r="E18" s="748"/>
      <c r="F18" s="748"/>
      <c r="G18" s="748"/>
      <c r="H18" s="748"/>
      <c r="I18" s="748"/>
      <c r="J18" s="748"/>
      <c r="K18" s="748"/>
      <c r="L18" s="748"/>
      <c r="M18" s="762" t="str">
        <f>IF('110'!E37="",IF('110'!E38="","ERROR","OK"),IF('110'!E38="","OK","ERROR"))</f>
        <v>ERROR</v>
      </c>
    </row>
    <row r="19" spans="2:14" s="744" customFormat="1" x14ac:dyDescent="0.25">
      <c r="B19" s="755"/>
      <c r="C19" s="761" t="s">
        <v>1387</v>
      </c>
      <c r="D19" s="761"/>
      <c r="E19" s="748"/>
      <c r="F19" s="748"/>
      <c r="G19" s="748"/>
      <c r="H19" s="748"/>
      <c r="I19" s="748"/>
      <c r="J19" s="748"/>
      <c r="K19" s="748"/>
      <c r="L19" s="748"/>
      <c r="M19" s="766" t="str">
        <f>IF('115'!D13="",IF('115'!D14="","ERROR","OK"),IF('115'!D14="","OK","ERROR"))</f>
        <v>ERROR</v>
      </c>
    </row>
    <row r="20" spans="2:14" s="751" customFormat="1" x14ac:dyDescent="0.25">
      <c r="B20" s="755"/>
      <c r="C20" s="761" t="s">
        <v>1388</v>
      </c>
      <c r="D20" s="761"/>
      <c r="E20" s="748"/>
      <c r="F20" s="748"/>
      <c r="G20" s="748"/>
      <c r="H20" s="748"/>
      <c r="I20" s="748"/>
      <c r="J20" s="748"/>
      <c r="K20" s="748"/>
      <c r="L20" s="748"/>
      <c r="M20" s="766" t="str">
        <f>IF('115'!D20="",IF('115'!D21="","ERROR","OK"),IF('115'!D21="","OK","ERROR"))</f>
        <v>ERROR</v>
      </c>
    </row>
    <row r="21" spans="2:14" s="751" customFormat="1" x14ac:dyDescent="0.25">
      <c r="B21" s="755"/>
      <c r="C21" s="761" t="s">
        <v>1389</v>
      </c>
      <c r="D21" s="761"/>
      <c r="E21" s="748"/>
      <c r="F21" s="748"/>
      <c r="G21" s="748"/>
      <c r="H21" s="748"/>
      <c r="I21" s="748"/>
      <c r="J21" s="748"/>
      <c r="K21" s="748"/>
      <c r="L21" s="748"/>
      <c r="M21" s="766" t="str">
        <f>IF('115'!D29="",IF('115'!D30="","ERROR","OK"),IF('115'!D30="","OK","ERROR"))</f>
        <v>ERROR</v>
      </c>
    </row>
    <row r="22" spans="2:14" s="751" customFormat="1" x14ac:dyDescent="0.25">
      <c r="B22" s="755"/>
      <c r="C22" s="761" t="s">
        <v>1390</v>
      </c>
      <c r="D22" s="761"/>
      <c r="E22" s="748"/>
      <c r="F22" s="748"/>
      <c r="G22" s="748"/>
      <c r="H22" s="748"/>
      <c r="I22" s="748"/>
      <c r="J22" s="748"/>
      <c r="K22" s="748"/>
      <c r="L22" s="748"/>
      <c r="M22" s="766" t="str">
        <f>IF('115'!E40="",IF('115'!E41="","ERROR","OK"),IF('115'!E41="","OK","ERROR"))</f>
        <v>ERROR</v>
      </c>
    </row>
    <row r="23" spans="2:14" s="751" customFormat="1" x14ac:dyDescent="0.25">
      <c r="B23" s="755"/>
      <c r="C23" s="761" t="s">
        <v>1391</v>
      </c>
      <c r="D23" s="761"/>
      <c r="E23" s="748"/>
      <c r="F23" s="748"/>
      <c r="G23" s="748"/>
      <c r="H23" s="748"/>
      <c r="I23" s="748"/>
      <c r="J23" s="748"/>
      <c r="K23" s="748"/>
      <c r="L23" s="748"/>
      <c r="M23" s="766" t="str">
        <f>IF(AND(ISBLANK('115'!I40),ISBLANK('115'!I41),ISBLANK('115'!I42))=TRUE,"ERROR",IF(COUNTIF('115'!I40:I42,"")&gt;1,"OK","ERROR"))</f>
        <v>ERROR</v>
      </c>
    </row>
    <row r="24" spans="2:14" x14ac:dyDescent="0.25">
      <c r="B24" s="755"/>
      <c r="C24" s="761" t="s">
        <v>1373</v>
      </c>
      <c r="D24" s="761"/>
      <c r="E24" s="748"/>
      <c r="F24" s="748"/>
      <c r="G24" s="748"/>
      <c r="H24" s="748"/>
      <c r="I24" s="748"/>
      <c r="J24" s="748"/>
      <c r="K24" s="748"/>
      <c r="L24" s="748"/>
      <c r="M24" s="762" t="str">
        <f>IF('120'!E31="",IF('120'!E32="","ERROR","OK"),IF('120'!E32="","OK","ERROR"))</f>
        <v>ERROR</v>
      </c>
    </row>
    <row r="25" spans="2:14" x14ac:dyDescent="0.25">
      <c r="B25" s="755"/>
      <c r="C25" s="761" t="s">
        <v>1374</v>
      </c>
      <c r="D25" s="761"/>
      <c r="E25" s="748"/>
      <c r="F25" s="748"/>
      <c r="G25" s="748"/>
      <c r="H25" s="748"/>
      <c r="I25" s="748"/>
      <c r="J25" s="748"/>
      <c r="K25" s="748"/>
      <c r="L25" s="748"/>
      <c r="M25" s="762" t="str">
        <f>IF('120'!E31="",IF(COUNTA('120'!D37:D40)&gt;0,"ERROR","OK"),IF(COUNTA('120'!D37:D40)&gt;0,"OK","ERROR"))</f>
        <v>OK</v>
      </c>
    </row>
    <row r="26" spans="2:14" s="744" customFormat="1" x14ac:dyDescent="0.25">
      <c r="B26" s="755"/>
      <c r="C26" s="761" t="s">
        <v>1385</v>
      </c>
      <c r="D26" s="761"/>
      <c r="E26" s="748"/>
      <c r="F26" s="748"/>
      <c r="G26" s="748"/>
      <c r="H26" s="748"/>
      <c r="I26" s="748"/>
      <c r="J26" s="748"/>
      <c r="K26" s="748"/>
      <c r="L26" s="748"/>
      <c r="M26" s="762" t="str">
        <f>IF('338'!J1="NA","OK",IF('338'!D27="",IF('338'!D28="","ERROR","OK"),IF('338'!D28="","OK","ERROR")))</f>
        <v>ERROR</v>
      </c>
      <c r="N26" s="750"/>
    </row>
    <row r="27" spans="2:14" x14ac:dyDescent="0.25">
      <c r="B27" s="755"/>
      <c r="C27" s="761" t="s">
        <v>1375</v>
      </c>
      <c r="D27" s="761"/>
      <c r="E27" s="748"/>
      <c r="F27" s="748"/>
      <c r="G27" s="748"/>
      <c r="H27" s="748"/>
      <c r="I27" s="748"/>
      <c r="J27" s="748"/>
      <c r="K27" s="748"/>
      <c r="L27" s="748"/>
      <c r="M27" s="766" t="str">
        <f>IF('345'!F30="",IF('345'!I30="","ERROR",IF('345'!F39="",IF('345'!I39="","ERROR",IF('345'!K52="",IF('345'!K53="","ERROR","OK"),IF('345'!K53="","OK","ERROR"))),IF('345'!I39="",IF('345'!K52="",IF('345'!K53="","ERROR","OK"),IF('345'!K53="","OK","ERROR")),"ERROR"))),IF('345'!I30="",IF('345'!F39="",IF('345'!I39="","ERROR",IF('345'!K52="",IF('345'!K53="","ERROR","OK"),IF('345'!K53="","ok","ERROR"))),IF('345'!I39="",IF('345'!K52="",IF('345'!K53="","ERROR","OK"),IF('345'!K53="","OK","ERROR")),"ERROR")),"ERROR"))</f>
        <v>ERROR</v>
      </c>
    </row>
    <row r="28" spans="2:14" s="778" customFormat="1" x14ac:dyDescent="0.25">
      <c r="B28" s="755"/>
      <c r="C28" s="761" t="s">
        <v>1404</v>
      </c>
      <c r="D28" s="761"/>
      <c r="E28" s="748"/>
      <c r="F28" s="748"/>
      <c r="G28" s="779"/>
      <c r="H28" s="779"/>
      <c r="I28" s="779"/>
      <c r="J28" s="779"/>
      <c r="K28" s="779"/>
      <c r="L28" s="779"/>
      <c r="M28" s="766" t="str">
        <f>IF('355'!C31="",IF('355'!E31="","ERROR","OK"),IF('355'!C31="","OK","ERROR"))</f>
        <v>ERROR</v>
      </c>
    </row>
    <row r="29" spans="2:14" s="778" customFormat="1" x14ac:dyDescent="0.25">
      <c r="B29" s="755"/>
      <c r="C29" s="761" t="s">
        <v>1405</v>
      </c>
      <c r="D29" s="761"/>
      <c r="E29" s="748"/>
      <c r="F29" s="748"/>
      <c r="G29" s="779"/>
      <c r="H29" s="779"/>
      <c r="I29" s="779"/>
      <c r="J29" s="779"/>
      <c r="K29" s="779"/>
      <c r="L29" s="779"/>
      <c r="M29" s="766" t="str">
        <f>IF('355'!C39="",IF('355'!E39="","ERROR","OK"),IF('355'!E39="","OK","ERROR"))</f>
        <v>ERROR</v>
      </c>
    </row>
    <row r="30" spans="2:14" x14ac:dyDescent="0.25">
      <c r="B30" s="755"/>
      <c r="C30" s="761" t="s">
        <v>1376</v>
      </c>
      <c r="D30" s="761"/>
      <c r="E30" s="748"/>
      <c r="F30" s="748"/>
      <c r="G30" s="748"/>
      <c r="H30" s="748"/>
      <c r="I30" s="748"/>
      <c r="J30" s="748"/>
      <c r="K30" s="748"/>
      <c r="L30" s="748"/>
      <c r="M30" s="766" t="str">
        <f>IF('355'!C39="","OK",IF('355'!B43="","ERROR","OK"))</f>
        <v>OK</v>
      </c>
    </row>
    <row r="31" spans="2:14" s="778" customFormat="1" x14ac:dyDescent="0.25">
      <c r="B31" s="755"/>
      <c r="C31" s="761" t="s">
        <v>1406</v>
      </c>
      <c r="D31" s="761"/>
      <c r="E31" s="748"/>
      <c r="F31" s="748"/>
      <c r="G31" s="748"/>
      <c r="H31" s="748"/>
      <c r="I31" s="748"/>
      <c r="J31" s="748"/>
      <c r="K31" s="748"/>
      <c r="L31" s="748"/>
      <c r="M31" s="766" t="str">
        <f>IF('355'!J54="",IF('355'!L54="","ERROR","OK"),IF('355'!L54="","OK","ERROR"))</f>
        <v>ERROR</v>
      </c>
    </row>
    <row r="32" spans="2:14" x14ac:dyDescent="0.25">
      <c r="B32" s="755"/>
      <c r="C32" s="761" t="s">
        <v>1377</v>
      </c>
      <c r="D32" s="761"/>
      <c r="E32" s="748"/>
      <c r="F32" s="748"/>
      <c r="G32" s="748"/>
      <c r="H32" s="748"/>
      <c r="I32" s="748"/>
      <c r="J32" s="748"/>
      <c r="K32" s="748"/>
      <c r="L32" s="748"/>
      <c r="M32" s="766" t="str">
        <f>IF('355'!J54="","OK",IF('355'!B58="","ERROR","OK"))</f>
        <v>OK</v>
      </c>
    </row>
    <row r="33" spans="2:14" s="775" customFormat="1" x14ac:dyDescent="0.25">
      <c r="B33" s="755"/>
      <c r="C33" s="761" t="s">
        <v>1407</v>
      </c>
      <c r="D33" s="761"/>
      <c r="E33" s="748"/>
      <c r="F33" s="748"/>
      <c r="G33" s="748"/>
      <c r="H33" s="748"/>
      <c r="I33" s="748"/>
      <c r="J33" s="748"/>
      <c r="K33" s="748"/>
      <c r="L33" s="748"/>
      <c r="M33" s="762" t="str">
        <f>IF('375'!M1="NA","OK",IF('375'!D22="",IF('375'!D23="","ERROR","OK"),IF('375'!D23="","OK","ERROR")))</f>
        <v>ERROR</v>
      </c>
      <c r="N33" s="802"/>
    </row>
    <row r="34" spans="2:14" s="775" customFormat="1" x14ac:dyDescent="0.25">
      <c r="B34" s="755"/>
      <c r="C34" s="761" t="s">
        <v>1402</v>
      </c>
      <c r="D34" s="761"/>
      <c r="E34" s="748"/>
      <c r="F34" s="748"/>
      <c r="G34" s="748"/>
      <c r="H34" s="748"/>
      <c r="I34" s="748"/>
      <c r="J34" s="748"/>
      <c r="K34" s="748"/>
      <c r="L34" s="748"/>
      <c r="M34" s="762" t="str">
        <f>IF('375'!M1="NA","OK",IF('375'!D22="","OK",IF('375'!B31="","ERROR","OK")))</f>
        <v>OK</v>
      </c>
      <c r="N34" s="750"/>
    </row>
    <row r="35" spans="2:14" s="775" customFormat="1" x14ac:dyDescent="0.25">
      <c r="B35" s="755"/>
      <c r="C35" s="765" t="s">
        <v>1408</v>
      </c>
      <c r="D35" s="765"/>
      <c r="E35" s="779"/>
      <c r="F35" s="779"/>
      <c r="G35" s="779"/>
      <c r="H35" s="779"/>
      <c r="I35" s="779"/>
      <c r="J35" s="779"/>
      <c r="K35" s="779"/>
      <c r="L35" s="779"/>
      <c r="M35" s="766" t="str">
        <f>IF('420'!J2="NA","OK",IF(SUM('420'!E16:E18)='420'!F28,"OK","ERROR"))</f>
        <v>OK</v>
      </c>
      <c r="N35" s="750"/>
    </row>
    <row r="36" spans="2:14" x14ac:dyDescent="0.25">
      <c r="B36" s="755"/>
      <c r="C36" s="761" t="s">
        <v>1386</v>
      </c>
      <c r="D36" s="761"/>
      <c r="E36" s="748"/>
      <c r="F36" s="748"/>
      <c r="G36" s="748"/>
      <c r="H36" s="748"/>
      <c r="I36" s="748"/>
      <c r="J36" s="748"/>
      <c r="K36" s="748"/>
      <c r="L36" s="748"/>
      <c r="M36" s="762" t="str">
        <f ca="1">IF('430'!N1="NA","OK",IF(ACFR_Stmts!F112='430'!E33,"OK","ERROR"))</f>
        <v>OK</v>
      </c>
      <c r="N36" s="750"/>
    </row>
    <row r="37" spans="2:14" s="799" customFormat="1" x14ac:dyDescent="0.25">
      <c r="B37" s="755"/>
      <c r="C37" s="800" t="s">
        <v>1439</v>
      </c>
      <c r="D37" s="270"/>
      <c r="G37" s="748"/>
      <c r="H37" s="748"/>
      <c r="I37" s="748"/>
      <c r="J37" s="748"/>
      <c r="K37" s="748"/>
      <c r="L37" s="748"/>
      <c r="M37" s="762" t="str">
        <f>IF(OR(M6="Z3",M6="ZA"),"NA",IF('515'!Q1="NA","OK",IF('515'!H26=ACFR_Stmts!F17,"OK","ERROR")))</f>
        <v>OK</v>
      </c>
      <c r="N37" s="750"/>
    </row>
    <row r="38" spans="2:14" s="799" customFormat="1" x14ac:dyDescent="0.25">
      <c r="B38" s="755"/>
      <c r="C38" s="800" t="s">
        <v>1440</v>
      </c>
      <c r="D38" s="270"/>
      <c r="G38" s="748"/>
      <c r="H38" s="748"/>
      <c r="I38" s="748"/>
      <c r="J38" s="748"/>
      <c r="K38" s="748"/>
      <c r="L38" s="748"/>
      <c r="M38" s="762" t="str">
        <f ca="1">IF(OR(M6="Z3",M6="ZA"),"NA",IF('515'!Q1="NA","OK",IF('515'!H32=ACFR_Stmts!F28,"OK","ERROR")))</f>
        <v>OK</v>
      </c>
      <c r="N38" s="750"/>
    </row>
    <row r="39" spans="2:14" s="799" customFormat="1" x14ac:dyDescent="0.25">
      <c r="B39" s="755"/>
      <c r="C39" s="800" t="s">
        <v>1441</v>
      </c>
      <c r="D39" s="270"/>
      <c r="G39" s="748"/>
      <c r="H39" s="748"/>
      <c r="I39" s="748"/>
      <c r="J39" s="748"/>
      <c r="K39" s="748"/>
      <c r="L39" s="748"/>
      <c r="M39" s="762" t="str">
        <f ca="1">IF(OR(M6="Z3",M6="ZA"),"NA",IF('520'!Q1="NA","OK",IF('520'!H32=ACFR_Stmts!F49,"OK","ERROR")))</f>
        <v>OK</v>
      </c>
      <c r="N39" s="805" t="s">
        <v>19</v>
      </c>
    </row>
    <row r="40" spans="2:14" s="799" customFormat="1" x14ac:dyDescent="0.25">
      <c r="B40" s="755"/>
      <c r="C40" s="800" t="s">
        <v>1442</v>
      </c>
      <c r="D40" s="270"/>
      <c r="G40" s="748"/>
      <c r="H40" s="748"/>
      <c r="I40" s="748"/>
      <c r="J40" s="748"/>
      <c r="K40" s="748"/>
      <c r="L40" s="748"/>
      <c r="M40" s="762" t="str">
        <f ca="1">IF(OR(M6="Z3",M6="ZA"),"NA",IF('525'!Q1="NA","OK",IF(ACFR_Stmts!F16='525'!H24,"OK","ERROR")))</f>
        <v>OK</v>
      </c>
      <c r="N40" s="750"/>
    </row>
    <row r="41" spans="2:14" x14ac:dyDescent="0.25">
      <c r="B41" s="755"/>
      <c r="C41" s="800" t="s">
        <v>1443</v>
      </c>
      <c r="D41" s="270"/>
      <c r="E41" s="799"/>
      <c r="F41" s="799"/>
      <c r="G41" s="748"/>
      <c r="H41" s="748"/>
      <c r="I41" s="748"/>
      <c r="J41" s="748"/>
      <c r="K41" s="748"/>
      <c r="L41" s="748"/>
      <c r="M41" s="762" t="str">
        <f ca="1">IF(OR(M6="Z3",M6="ZA"),"NA",IF('525'!Q1="NA","OK",IF(ACFR_Stmts!F27='525'!H33,"OK","ERROR")))</f>
        <v>OK</v>
      </c>
      <c r="N41" s="750"/>
    </row>
    <row r="42" spans="2:14" x14ac:dyDescent="0.25">
      <c r="B42" s="755"/>
      <c r="C42" s="800" t="s">
        <v>1444</v>
      </c>
      <c r="D42" s="270"/>
      <c r="E42" s="799"/>
      <c r="F42" s="799"/>
      <c r="G42" s="748"/>
      <c r="H42" s="748"/>
      <c r="I42" s="748"/>
      <c r="J42" s="748"/>
      <c r="K42" s="748"/>
      <c r="L42" s="748"/>
      <c r="M42" s="762" t="str">
        <f ca="1">IF(OR(M6="Z3",M6="ZA"),"NA",IF('530'!Q1="NA","OK",IF('530'!H32=ACFR_Stmts!F48,"OK","ERROR")))</f>
        <v>OK</v>
      </c>
      <c r="N42" s="750"/>
    </row>
    <row r="43" spans="2:14" x14ac:dyDescent="0.25">
      <c r="B43" s="755"/>
      <c r="C43" s="800" t="s">
        <v>1445</v>
      </c>
      <c r="D43" s="270"/>
      <c r="E43" s="799"/>
      <c r="F43" s="799"/>
      <c r="G43" s="748"/>
      <c r="H43" s="748"/>
      <c r="I43" s="748"/>
      <c r="J43" s="748"/>
      <c r="K43" s="748"/>
      <c r="L43" s="748"/>
      <c r="M43" s="762" t="str">
        <f ca="1">IF(OR(M6="Z3",M6="ZA"),"NA",IF('535'!Q1="NA","OK",IF('535'!H22=ACFR_Stmts!F52,"OK","ERROR")))</f>
        <v>OK</v>
      </c>
      <c r="N43" s="750"/>
    </row>
    <row r="44" spans="2:14" x14ac:dyDescent="0.25">
      <c r="B44" s="755"/>
      <c r="C44" s="800" t="s">
        <v>1446</v>
      </c>
      <c r="D44" s="270"/>
      <c r="E44" s="799"/>
      <c r="F44" s="799"/>
      <c r="G44" s="748"/>
      <c r="H44" s="748"/>
      <c r="I44" s="748"/>
      <c r="J44" s="748"/>
      <c r="K44" s="748"/>
      <c r="L44" s="748"/>
      <c r="M44" s="762" t="str">
        <f ca="1">IF(OR(M6="Z3",M6="ZA"),"NA",IF('535'!Q1="NA","OK",IF('535'!H35=ACFR_Stmts!F18,"OK","ERROR")))</f>
        <v>OK</v>
      </c>
      <c r="N44" s="750"/>
    </row>
    <row r="45" spans="2:14" x14ac:dyDescent="0.25">
      <c r="B45" s="755"/>
      <c r="C45" s="761" t="s">
        <v>1378</v>
      </c>
      <c r="D45" s="761"/>
      <c r="E45" s="748"/>
      <c r="F45" s="748"/>
      <c r="G45" s="748"/>
      <c r="H45" s="748"/>
      <c r="I45" s="748"/>
      <c r="J45" s="748"/>
      <c r="K45" s="748"/>
      <c r="L45" s="748"/>
      <c r="M45" s="762" t="str">
        <f>IF('602'!G4="NA","OK",IF('602'!F14&lt;0.01,"ERROR",IF('602'!F31&lt;0.01,"ERROR",IF('602'!F48&lt;0.01,"ERROR","OK"))))</f>
        <v>ERROR</v>
      </c>
      <c r="N45" s="750"/>
    </row>
    <row r="46" spans="2:14" x14ac:dyDescent="0.25">
      <c r="B46" s="755"/>
      <c r="C46" s="761" t="s">
        <v>1379</v>
      </c>
      <c r="D46" s="761"/>
      <c r="E46" s="748"/>
      <c r="F46" s="748"/>
      <c r="G46" s="748"/>
      <c r="H46" s="748"/>
      <c r="I46" s="748"/>
      <c r="J46" s="748"/>
      <c r="K46" s="748"/>
      <c r="L46" s="748"/>
      <c r="M46" s="762" t="str">
        <f>IF('610'!G31="","OK")</f>
        <v>OK</v>
      </c>
    </row>
    <row r="47" spans="2:14" s="775" customFormat="1" ht="13.8" x14ac:dyDescent="0.25">
      <c r="B47" s="755"/>
      <c r="C47" s="270" t="s">
        <v>1437</v>
      </c>
      <c r="D47" s="695"/>
      <c r="E47" s="695"/>
      <c r="F47" s="695"/>
      <c r="G47" s="695"/>
      <c r="H47" s="695"/>
      <c r="I47" s="695"/>
      <c r="J47" s="695"/>
      <c r="K47" s="695"/>
      <c r="L47" s="695"/>
      <c r="M47" s="762" t="str">
        <f ca="1">IF('625'!W1="NA","OK",IF('625'!B16="",IF(Variances!M4&gt;0,"ERROR","OK"),IF(Variances!M4&gt;0,"OK","ERROR")))</f>
        <v>OK</v>
      </c>
      <c r="N47" s="750"/>
    </row>
    <row r="48" spans="2:14" ht="13.8" thickBot="1" x14ac:dyDescent="0.3">
      <c r="B48" s="763"/>
      <c r="C48" s="747"/>
      <c r="D48" s="747"/>
      <c r="E48" s="747"/>
      <c r="F48" s="747"/>
      <c r="G48" s="747"/>
      <c r="H48" s="747"/>
      <c r="I48" s="747"/>
      <c r="J48" s="747"/>
      <c r="K48" s="747"/>
      <c r="L48" s="747"/>
      <c r="M48" s="759"/>
    </row>
  </sheetData>
  <sheetProtection algorithmName="SHA-512" hashValue="xYIaOW4WpcqXW0ozdqjyQSO/2VBNg5sfwLvOb8wZR6oZrGs0gaT/Dd7z2imDvEBILavYfVebXtC52pSszd/f+Q==" saltValue="SX1OLdjb4oBXff/BHS6+qg==" spinCount="100000" sheet="1" objects="1" scenarios="1" autoFilter="0"/>
  <mergeCells count="3">
    <mergeCell ref="A1:N1"/>
    <mergeCell ref="A2:M2"/>
    <mergeCell ref="A3:M3"/>
  </mergeCells>
  <conditionalFormatting sqref="M45">
    <cfRule type="cellIs" dxfId="96" priority="65" operator="equal">
      <formula>"ERROR"</formula>
    </cfRule>
    <cfRule type="cellIs" dxfId="95" priority="66" operator="equal">
      <formula>"OK"</formula>
    </cfRule>
  </conditionalFormatting>
  <conditionalFormatting sqref="M46:M47">
    <cfRule type="cellIs" dxfId="94" priority="63" operator="equal">
      <formula>"ERROR"</formula>
    </cfRule>
    <cfRule type="cellIs" dxfId="93" priority="64" operator="equal">
      <formula>"OK"</formula>
    </cfRule>
  </conditionalFormatting>
  <conditionalFormatting sqref="M36:M44">
    <cfRule type="cellIs" dxfId="92" priority="55" operator="equal">
      <formula>"ERROR"</formula>
    </cfRule>
    <cfRule type="cellIs" dxfId="91" priority="56" operator="equal">
      <formula>"OK"</formula>
    </cfRule>
    <cfRule type="cellIs" dxfId="90" priority="1" operator="equal">
      <formula>"NA"</formula>
    </cfRule>
  </conditionalFormatting>
  <conditionalFormatting sqref="M25">
    <cfRule type="cellIs" dxfId="89" priority="51" operator="equal">
      <formula>"ERROR"</formula>
    </cfRule>
    <cfRule type="cellIs" dxfId="88" priority="52" operator="equal">
      <formula>"OK"</formula>
    </cfRule>
  </conditionalFormatting>
  <conditionalFormatting sqref="M24">
    <cfRule type="cellIs" dxfId="87" priority="49" operator="equal">
      <formula>"ERROR"</formula>
    </cfRule>
    <cfRule type="cellIs" dxfId="86" priority="50" operator="equal">
      <formula>"OK"</formula>
    </cfRule>
  </conditionalFormatting>
  <conditionalFormatting sqref="M18">
    <cfRule type="cellIs" dxfId="85" priority="46" operator="equal">
      <formula>"ERROR"</formula>
    </cfRule>
    <cfRule type="cellIs" dxfId="84" priority="47" operator="equal">
      <formula>"OK"</formula>
    </cfRule>
  </conditionalFormatting>
  <conditionalFormatting sqref="M11:M12">
    <cfRule type="colorScale" priority="43">
      <colorScale>
        <cfvo type="min"/>
        <cfvo type="max"/>
        <color rgb="FFFF7128"/>
        <color rgb="FFFFEF9C"/>
      </colorScale>
    </cfRule>
    <cfRule type="cellIs" dxfId="83" priority="44" operator="equal">
      <formula>"ERROR"</formula>
    </cfRule>
    <cfRule type="cellIs" dxfId="82" priority="45" operator="equal">
      <formula>"OK"</formula>
    </cfRule>
  </conditionalFormatting>
  <conditionalFormatting sqref="M13">
    <cfRule type="cellIs" dxfId="81" priority="41" operator="equal">
      <formula>"OK"</formula>
    </cfRule>
    <cfRule type="cellIs" dxfId="80" priority="42" operator="equal">
      <formula>"ERROR"</formula>
    </cfRule>
  </conditionalFormatting>
  <conditionalFormatting sqref="M26">
    <cfRule type="cellIs" dxfId="79" priority="39" operator="equal">
      <formula>"OK"</formula>
    </cfRule>
    <cfRule type="cellIs" dxfId="78" priority="40" operator="equal">
      <formula>"ERROR"</formula>
    </cfRule>
  </conditionalFormatting>
  <conditionalFormatting sqref="M19">
    <cfRule type="cellIs" dxfId="77" priority="30" operator="equal">
      <formula>"OK"</formula>
    </cfRule>
    <cfRule type="cellIs" dxfId="76" priority="31" operator="equal">
      <formula>"ERROR"</formula>
    </cfRule>
  </conditionalFormatting>
  <conditionalFormatting sqref="M20">
    <cfRule type="cellIs" dxfId="75" priority="28" operator="equal">
      <formula>"ERROR"</formula>
    </cfRule>
    <cfRule type="cellIs" dxfId="74" priority="29" operator="equal">
      <formula>"OK"</formula>
    </cfRule>
  </conditionalFormatting>
  <conditionalFormatting sqref="M21">
    <cfRule type="cellIs" dxfId="73" priority="26" operator="equal">
      <formula>"ERROR"</formula>
    </cfRule>
    <cfRule type="cellIs" dxfId="72" priority="27" operator="equal">
      <formula>"OK"</formula>
    </cfRule>
  </conditionalFormatting>
  <conditionalFormatting sqref="M22:M23">
    <cfRule type="cellIs" dxfId="71" priority="24" operator="equal">
      <formula>"ERROR"</formula>
    </cfRule>
    <cfRule type="cellIs" dxfId="70" priority="25" operator="equal">
      <formula>"OK"</formula>
    </cfRule>
  </conditionalFormatting>
  <conditionalFormatting sqref="M27">
    <cfRule type="cellIs" dxfId="69" priority="22" operator="equal">
      <formula>"ERROR"</formula>
    </cfRule>
    <cfRule type="cellIs" dxfId="68" priority="23" operator="equal">
      <formula>"OK"</formula>
    </cfRule>
  </conditionalFormatting>
  <conditionalFormatting sqref="M14">
    <cfRule type="cellIs" dxfId="67" priority="20" operator="equal">
      <formula>"ERROR"</formula>
    </cfRule>
    <cfRule type="cellIs" dxfId="66" priority="21" operator="equal">
      <formula>"OK"</formula>
    </cfRule>
  </conditionalFormatting>
  <conditionalFormatting sqref="M15">
    <cfRule type="cellIs" dxfId="65" priority="18" operator="equal">
      <formula>"ERROR"</formula>
    </cfRule>
    <cfRule type="cellIs" dxfId="64" priority="19" operator="equal">
      <formula>"OK"</formula>
    </cfRule>
  </conditionalFormatting>
  <conditionalFormatting sqref="M16">
    <cfRule type="cellIs" dxfId="63" priority="16" operator="equal">
      <formula>"ERROR"</formula>
    </cfRule>
    <cfRule type="cellIs" dxfId="62" priority="17" operator="equal">
      <formula>"OK"</formula>
    </cfRule>
  </conditionalFormatting>
  <conditionalFormatting sqref="M17">
    <cfRule type="cellIs" dxfId="61" priority="14" operator="equal">
      <formula>"ERROR"</formula>
    </cfRule>
    <cfRule type="cellIs" dxfId="60" priority="15" operator="equal">
      <formula>"OK"</formula>
    </cfRule>
  </conditionalFormatting>
  <conditionalFormatting sqref="M32">
    <cfRule type="cellIs" dxfId="59" priority="12" operator="equal">
      <formula>"ERROR"</formula>
    </cfRule>
    <cfRule type="cellIs" dxfId="58" priority="13" operator="equal">
      <formula>"OK"</formula>
    </cfRule>
  </conditionalFormatting>
  <conditionalFormatting sqref="M30">
    <cfRule type="cellIs" dxfId="57" priority="10" operator="equal">
      <formula>"ERROR"</formula>
    </cfRule>
    <cfRule type="cellIs" dxfId="56" priority="11" operator="equal">
      <formula>"OK"</formula>
    </cfRule>
  </conditionalFormatting>
  <conditionalFormatting sqref="M33:M35">
    <cfRule type="cellIs" dxfId="55" priority="8" operator="equal">
      <formula>"ERROR"</formula>
    </cfRule>
    <cfRule type="cellIs" dxfId="54" priority="9" operator="equal">
      <formula>"OK"</formula>
    </cfRule>
  </conditionalFormatting>
  <conditionalFormatting sqref="M28">
    <cfRule type="cellIs" dxfId="53" priority="6" operator="equal">
      <formula>"OK"</formula>
    </cfRule>
    <cfRule type="cellIs" dxfId="52" priority="7" operator="equal">
      <formula>"ERROR"</formula>
    </cfRule>
  </conditionalFormatting>
  <conditionalFormatting sqref="M29">
    <cfRule type="cellIs" dxfId="51" priority="4" operator="equal">
      <formula>"OK"</formula>
    </cfRule>
    <cfRule type="cellIs" dxfId="50" priority="5" operator="equal">
      <formula>"ERROR"</formula>
    </cfRule>
  </conditionalFormatting>
  <conditionalFormatting sqref="M31">
    <cfRule type="cellIs" dxfId="49" priority="2" operator="equal">
      <formula>"OK"</formula>
    </cfRule>
    <cfRule type="cellIs" dxfId="48" priority="3" operator="equal">
      <formula>"ERROR"</formula>
    </cfRule>
  </conditionalFormatting>
  <pageMargins left="0.7" right="0.7" top="0.75" bottom="0.75" header="0.3" footer="0.3"/>
  <pageSetup scale="86" orientation="portrait" r:id="rId1"/>
  <colBreaks count="1" manualBreakCount="1">
    <brk id="13"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12">
    <pageSetUpPr fitToPage="1"/>
  </sheetPr>
  <dimension ref="A1:AB55"/>
  <sheetViews>
    <sheetView showGridLines="0" topLeftCell="B1" zoomScaleNormal="100" workbookViewId="0">
      <selection activeCell="W19" sqref="W19"/>
    </sheetView>
  </sheetViews>
  <sheetFormatPr defaultColWidth="9.109375" defaultRowHeight="15.6" x14ac:dyDescent="0.3"/>
  <cols>
    <col min="1" max="1" width="0" style="84" hidden="1" customWidth="1"/>
    <col min="2" max="2" width="13.5546875" style="84" customWidth="1"/>
    <col min="3" max="3" width="1.5546875" style="84" customWidth="1"/>
    <col min="4" max="4" width="7.5546875" style="84" bestFit="1" customWidth="1"/>
    <col min="5" max="5" width="1.5546875" style="84" customWidth="1"/>
    <col min="6" max="6" width="8.5546875" style="84" customWidth="1"/>
    <col min="7" max="7" width="1.5546875" style="84" customWidth="1"/>
    <col min="8" max="8" width="14.44140625" style="84" customWidth="1"/>
    <col min="9" max="9" width="1.5546875" style="84" customWidth="1"/>
    <col min="10" max="10" width="15.44140625" style="84" customWidth="1"/>
    <col min="11" max="11" width="0.88671875" style="84" customWidth="1"/>
    <col min="12" max="12" width="13.44140625" style="84" customWidth="1"/>
    <col min="13" max="13" width="1.88671875" style="84" customWidth="1"/>
    <col min="14" max="14" width="13.44140625" style="84" customWidth="1"/>
    <col min="15" max="15" width="0.88671875" style="84" customWidth="1"/>
    <col min="16" max="16" width="36.44140625" style="84" customWidth="1"/>
    <col min="17" max="17" width="4.5546875" style="84" customWidth="1"/>
    <col min="18" max="18" width="2" style="84" customWidth="1"/>
    <col min="19" max="21" width="5.88671875" style="84" customWidth="1"/>
    <col min="22" max="22" width="0.88671875" style="84" customWidth="1"/>
    <col min="23" max="23" width="4.44140625" style="84" customWidth="1"/>
    <col min="24" max="24" width="6.44140625" style="84" customWidth="1"/>
    <col min="25" max="26" width="7.44140625" style="84" customWidth="1"/>
    <col min="27" max="27" width="10.5546875" style="84" customWidth="1"/>
    <col min="28" max="28" width="7.88671875" style="84" customWidth="1"/>
    <col min="29" max="16384" width="9.109375" style="84"/>
  </cols>
  <sheetData>
    <row r="1" spans="2:28" s="54" customFormat="1" ht="25.2" customHeight="1" x14ac:dyDescent="0.3">
      <c r="B1" s="854" t="str">
        <f>+Index!$A$1</f>
        <v>Office of the State Controller</v>
      </c>
      <c r="C1" s="854"/>
      <c r="D1" s="854"/>
      <c r="E1" s="854"/>
      <c r="F1" s="854"/>
      <c r="G1" s="854"/>
      <c r="H1" s="854"/>
      <c r="I1" s="854"/>
      <c r="J1" s="854"/>
      <c r="K1" s="854"/>
      <c r="L1" s="854"/>
      <c r="M1" s="854"/>
      <c r="N1" s="854"/>
      <c r="O1" s="854"/>
      <c r="P1" s="854"/>
      <c r="Q1" s="803" t="str">
        <f>IF(Index!$B$58="na","NA","")</f>
        <v/>
      </c>
    </row>
    <row r="2" spans="2:28" s="54" customFormat="1" ht="15" customHeight="1" x14ac:dyDescent="0.3">
      <c r="B2" s="1033" t="str">
        <f>+Index!$A$2</f>
        <v>2022 ACFR Worksheets for Nonmajor Component Units</v>
      </c>
      <c r="C2" s="1033"/>
      <c r="D2" s="1033"/>
      <c r="E2" s="1033"/>
      <c r="F2" s="1033"/>
      <c r="G2" s="1033"/>
      <c r="H2" s="1033"/>
      <c r="I2" s="1033"/>
      <c r="J2" s="1033"/>
      <c r="K2" s="1033"/>
      <c r="L2" s="1033"/>
      <c r="M2" s="1033"/>
      <c r="N2" s="1033"/>
      <c r="O2" s="1033"/>
      <c r="P2" s="1033"/>
      <c r="Q2" s="803"/>
    </row>
    <row r="3" spans="2:28" s="54" customFormat="1" ht="15" customHeight="1" x14ac:dyDescent="0.3">
      <c r="B3" s="1033" t="s">
        <v>669</v>
      </c>
      <c r="C3" s="1033"/>
      <c r="D3" s="1033"/>
      <c r="E3" s="1033"/>
      <c r="F3" s="1033"/>
      <c r="G3" s="1033"/>
      <c r="H3" s="1033"/>
      <c r="I3" s="1033"/>
      <c r="J3" s="1033"/>
      <c r="K3" s="1033"/>
      <c r="L3" s="1033"/>
      <c r="M3" s="1033"/>
      <c r="N3" s="1033"/>
      <c r="O3" s="1033"/>
      <c r="P3" s="1033"/>
      <c r="Q3" s="803"/>
    </row>
    <row r="4" spans="2:28" s="54" customFormat="1" ht="15" customHeight="1" x14ac:dyDescent="0.3">
      <c r="B4" s="1033" t="s">
        <v>1227</v>
      </c>
      <c r="C4" s="1033"/>
      <c r="D4" s="1033"/>
      <c r="E4" s="1033"/>
      <c r="F4" s="1033"/>
      <c r="G4" s="1033"/>
      <c r="H4" s="1033"/>
      <c r="I4" s="1033"/>
      <c r="J4" s="1033"/>
      <c r="K4" s="1033"/>
      <c r="L4" s="1033"/>
      <c r="M4" s="1033"/>
      <c r="N4" s="1033"/>
      <c r="O4" s="1033"/>
      <c r="P4" s="1033"/>
    </row>
    <row r="5" spans="2:28" s="57" customFormat="1" ht="15" customHeight="1" x14ac:dyDescent="0.25">
      <c r="B5" s="55"/>
      <c r="C5" s="56"/>
      <c r="D5" s="56"/>
      <c r="E5" s="56"/>
      <c r="F5" s="56"/>
      <c r="G5" s="56"/>
      <c r="H5" s="56"/>
      <c r="I5" s="56"/>
      <c r="J5" s="56"/>
      <c r="K5" s="55"/>
      <c r="L5" s="56"/>
      <c r="M5" s="56"/>
      <c r="N5" s="56"/>
      <c r="O5" s="56"/>
      <c r="P5" s="56"/>
    </row>
    <row r="6" spans="2:28" s="57" customFormat="1" ht="15" customHeight="1" x14ac:dyDescent="0.25">
      <c r="B6" s="59"/>
      <c r="D6" s="1031"/>
      <c r="E6" s="1031"/>
      <c r="F6" s="1031"/>
      <c r="G6" s="1031"/>
      <c r="H6" s="60"/>
      <c r="L6" s="39" t="s">
        <v>357</v>
      </c>
      <c r="M6" s="39"/>
      <c r="N6" s="39"/>
      <c r="O6" s="908" t="str">
        <f>Index!$D$10</f>
        <v>0A</v>
      </c>
      <c r="P6" s="908"/>
      <c r="Q6" s="908"/>
    </row>
    <row r="7" spans="2:28" s="57" customFormat="1" ht="15" customHeight="1" x14ac:dyDescent="0.25">
      <c r="B7" s="59"/>
      <c r="D7" s="1031"/>
      <c r="E7" s="1031"/>
      <c r="F7" s="1031"/>
      <c r="G7" s="1031"/>
      <c r="H7" s="1031"/>
      <c r="L7" s="39" t="s">
        <v>358</v>
      </c>
      <c r="M7" s="39"/>
      <c r="N7" s="39"/>
      <c r="O7" s="908" t="str">
        <f>Index!$D$11</f>
        <v>NC Housing Finance Agency</v>
      </c>
      <c r="P7" s="908"/>
      <c r="Q7" s="908"/>
    </row>
    <row r="8" spans="2:28" s="57" customFormat="1" ht="15" customHeight="1" x14ac:dyDescent="0.25">
      <c r="B8" s="59" t="s">
        <v>72</v>
      </c>
      <c r="D8" s="1032">
        <f>+Index!D$13</f>
        <v>2611</v>
      </c>
      <c r="E8" s="1032"/>
      <c r="F8" s="1032"/>
      <c r="G8" s="1032"/>
      <c r="L8" s="39" t="s">
        <v>359</v>
      </c>
      <c r="M8" s="39"/>
      <c r="N8" s="39"/>
      <c r="O8" s="899" t="str">
        <f>CONCATENATE(Index!$D$14,"  ",Index!$D$16)</f>
        <v xml:space="preserve">  </v>
      </c>
      <c r="P8" s="899"/>
      <c r="Q8" s="899"/>
    </row>
    <row r="9" spans="2:28" s="57" customFormat="1" ht="15" customHeight="1" x14ac:dyDescent="0.25">
      <c r="B9" s="59"/>
      <c r="D9" s="232"/>
      <c r="E9" s="232"/>
      <c r="F9" s="232"/>
      <c r="G9" s="232"/>
      <c r="L9" s="237" t="s">
        <v>196</v>
      </c>
      <c r="M9" s="237"/>
      <c r="N9" s="237"/>
      <c r="O9" s="899">
        <f>+Index!$D$15</f>
        <v>0</v>
      </c>
      <c r="P9" s="899"/>
      <c r="Q9" s="899"/>
    </row>
    <row r="10" spans="2:28" s="57" customFormat="1" ht="15" customHeight="1" thickBot="1" x14ac:dyDescent="0.3">
      <c r="B10" s="61"/>
      <c r="C10" s="61"/>
      <c r="D10" s="61"/>
      <c r="E10" s="61"/>
      <c r="F10" s="61"/>
      <c r="G10" s="61"/>
      <c r="H10" s="61"/>
      <c r="I10" s="61"/>
      <c r="J10" s="61"/>
      <c r="K10" s="62"/>
      <c r="L10" s="61"/>
      <c r="M10" s="61"/>
      <c r="N10" s="61"/>
      <c r="O10" s="61"/>
      <c r="P10" s="61"/>
    </row>
    <row r="11" spans="2:28" s="57" customFormat="1" ht="15" customHeight="1" thickBot="1" x14ac:dyDescent="0.3">
      <c r="B11" s="63"/>
      <c r="D11" s="64" t="s">
        <v>82</v>
      </c>
      <c r="E11" s="65"/>
      <c r="F11" s="64" t="s">
        <v>82</v>
      </c>
      <c r="I11" s="55"/>
      <c r="J11" s="1030" t="s">
        <v>83</v>
      </c>
      <c r="K11" s="1030"/>
      <c r="L11" s="1030"/>
      <c r="M11" s="1030"/>
      <c r="N11" s="1030"/>
      <c r="O11" s="66"/>
      <c r="W11" s="65"/>
      <c r="X11" s="65"/>
      <c r="Y11" s="65"/>
      <c r="Z11" s="65"/>
      <c r="AA11" s="65"/>
      <c r="AB11" s="65"/>
    </row>
    <row r="12" spans="2:28" s="57" customFormat="1" ht="15" customHeight="1" x14ac:dyDescent="0.25">
      <c r="B12" s="63" t="s">
        <v>75</v>
      </c>
      <c r="D12" s="64" t="s">
        <v>287</v>
      </c>
      <c r="E12" s="65"/>
      <c r="F12" s="64" t="s">
        <v>65</v>
      </c>
      <c r="I12" s="55"/>
      <c r="J12" s="65"/>
      <c r="K12" s="65"/>
      <c r="L12" s="795" t="s">
        <v>1422</v>
      </c>
      <c r="M12" s="64"/>
      <c r="N12" s="795" t="s">
        <v>1424</v>
      </c>
      <c r="O12" s="65"/>
      <c r="W12" s="65"/>
      <c r="X12" s="65"/>
      <c r="Y12" s="65"/>
      <c r="Z12" s="65"/>
      <c r="AA12" s="65"/>
      <c r="AB12" s="65"/>
    </row>
    <row r="13" spans="2:28" s="57" customFormat="1" ht="15" customHeight="1" thickBot="1" x14ac:dyDescent="0.3">
      <c r="B13" s="67" t="s">
        <v>76</v>
      </c>
      <c r="C13" s="63"/>
      <c r="D13" s="68" t="s">
        <v>286</v>
      </c>
      <c r="E13" s="65"/>
      <c r="F13" s="68" t="s">
        <v>286</v>
      </c>
      <c r="H13" s="67" t="s">
        <v>77</v>
      </c>
      <c r="J13" s="68" t="s">
        <v>78</v>
      </c>
      <c r="K13" s="69"/>
      <c r="L13" s="796" t="s">
        <v>1423</v>
      </c>
      <c r="M13" s="792"/>
      <c r="N13" s="796" t="s">
        <v>1425</v>
      </c>
      <c r="O13" s="69"/>
      <c r="P13" s="67" t="s">
        <v>79</v>
      </c>
      <c r="Q13" s="63" t="s">
        <v>19</v>
      </c>
      <c r="W13" s="65"/>
      <c r="X13" s="65"/>
      <c r="Y13" s="65"/>
      <c r="Z13" s="65"/>
      <c r="AA13" s="65"/>
      <c r="AB13" s="65"/>
    </row>
    <row r="14" spans="2:28" s="57" customFormat="1" ht="15" customHeight="1" x14ac:dyDescent="0.25">
      <c r="B14" s="70">
        <v>212500</v>
      </c>
      <c r="C14" s="72"/>
      <c r="D14" s="71"/>
      <c r="E14" s="72"/>
      <c r="F14" s="71"/>
      <c r="G14" s="72"/>
      <c r="H14" s="73"/>
      <c r="J14" s="74"/>
      <c r="K14" s="532"/>
      <c r="L14" s="75"/>
      <c r="M14" s="793"/>
      <c r="N14" s="75"/>
      <c r="O14" s="302"/>
      <c r="P14" s="74"/>
      <c r="W14" s="65"/>
      <c r="X14" s="65"/>
      <c r="Y14" s="65"/>
      <c r="Z14" s="65"/>
      <c r="AA14" s="80"/>
      <c r="AB14" s="65"/>
    </row>
    <row r="15" spans="2:28" s="57" customFormat="1" ht="15" customHeight="1" x14ac:dyDescent="0.25">
      <c r="B15" s="70">
        <v>212500</v>
      </c>
      <c r="C15" s="72"/>
      <c r="D15" s="71"/>
      <c r="E15" s="72"/>
      <c r="F15" s="71"/>
      <c r="G15" s="72"/>
      <c r="H15" s="73"/>
      <c r="J15" s="74"/>
      <c r="K15" s="532"/>
      <c r="L15" s="75"/>
      <c r="M15" s="793"/>
      <c r="N15" s="75"/>
      <c r="O15" s="302"/>
      <c r="P15" s="74"/>
      <c r="W15" s="65"/>
      <c r="X15" s="65"/>
      <c r="Y15" s="65"/>
      <c r="Z15" s="65"/>
      <c r="AA15" s="80"/>
      <c r="AB15" s="65"/>
    </row>
    <row r="16" spans="2:28" s="57" customFormat="1" ht="15" customHeight="1" x14ac:dyDescent="0.25">
      <c r="B16" s="70">
        <v>212500</v>
      </c>
      <c r="C16" s="72"/>
      <c r="D16" s="71"/>
      <c r="E16" s="72"/>
      <c r="F16" s="71"/>
      <c r="G16" s="72"/>
      <c r="H16" s="73"/>
      <c r="J16" s="74"/>
      <c r="K16" s="532"/>
      <c r="L16" s="75"/>
      <c r="M16" s="793"/>
      <c r="N16" s="75"/>
      <c r="O16" s="302"/>
      <c r="P16" s="74"/>
      <c r="W16" s="65"/>
      <c r="X16" s="65"/>
      <c r="Y16" s="65"/>
      <c r="Z16" s="65"/>
      <c r="AA16" s="80"/>
      <c r="AB16" s="65"/>
    </row>
    <row r="17" spans="2:28" s="57" customFormat="1" ht="15" customHeight="1" x14ac:dyDescent="0.25">
      <c r="B17" s="70">
        <v>212500</v>
      </c>
      <c r="C17" s="72"/>
      <c r="D17" s="71"/>
      <c r="E17" s="72"/>
      <c r="F17" s="71"/>
      <c r="G17" s="72"/>
      <c r="H17" s="73"/>
      <c r="J17" s="74"/>
      <c r="K17" s="65"/>
      <c r="L17" s="75"/>
      <c r="M17" s="793"/>
      <c r="N17" s="75"/>
      <c r="P17" s="74"/>
      <c r="W17" s="65"/>
      <c r="X17" s="65"/>
      <c r="Y17" s="65"/>
      <c r="Z17" s="65"/>
      <c r="AA17" s="80"/>
      <c r="AB17" s="65"/>
    </row>
    <row r="18" spans="2:28" s="57" customFormat="1" ht="15" customHeight="1" x14ac:dyDescent="0.25">
      <c r="B18" s="70">
        <v>212500</v>
      </c>
      <c r="C18" s="72"/>
      <c r="D18" s="71"/>
      <c r="E18" s="72"/>
      <c r="F18" s="71"/>
      <c r="G18" s="72"/>
      <c r="H18" s="73"/>
      <c r="J18" s="76"/>
      <c r="L18" s="81"/>
      <c r="M18" s="794"/>
      <c r="N18" s="81"/>
      <c r="P18" s="76"/>
      <c r="Q18" s="77"/>
      <c r="R18" s="78"/>
      <c r="S18" s="79"/>
      <c r="T18" s="79"/>
      <c r="U18" s="79"/>
      <c r="W18" s="65"/>
      <c r="X18" s="65"/>
      <c r="Y18" s="65"/>
      <c r="Z18" s="65"/>
      <c r="AA18" s="80"/>
      <c r="AB18" s="65"/>
    </row>
    <row r="19" spans="2:28" s="57" customFormat="1" ht="15" customHeight="1" x14ac:dyDescent="0.25">
      <c r="B19" s="70">
        <v>212500</v>
      </c>
      <c r="C19" s="72"/>
      <c r="D19" s="71" t="s">
        <v>19</v>
      </c>
      <c r="E19" s="72"/>
      <c r="F19" s="71"/>
      <c r="G19" s="72"/>
      <c r="H19" s="73"/>
      <c r="J19" s="76"/>
      <c r="L19" s="81"/>
      <c r="M19" s="794"/>
      <c r="N19" s="81"/>
      <c r="P19" s="76"/>
      <c r="Q19" s="77"/>
      <c r="R19" s="78"/>
      <c r="S19" s="79"/>
      <c r="T19" s="79"/>
      <c r="U19" s="79"/>
      <c r="W19" s="65"/>
      <c r="X19" s="65"/>
      <c r="Y19" s="65"/>
      <c r="Z19" s="65"/>
      <c r="AA19" s="80"/>
      <c r="AB19" s="65"/>
    </row>
    <row r="20" spans="2:28" s="57" customFormat="1" ht="15" customHeight="1" x14ac:dyDescent="0.25">
      <c r="B20" s="70">
        <v>212500</v>
      </c>
      <c r="C20" s="72"/>
      <c r="D20" s="71" t="s">
        <v>19</v>
      </c>
      <c r="E20" s="72"/>
      <c r="F20" s="71"/>
      <c r="G20" s="72"/>
      <c r="H20" s="73"/>
      <c r="J20" s="76"/>
      <c r="L20" s="81"/>
      <c r="M20" s="794"/>
      <c r="N20" s="81"/>
      <c r="P20" s="76"/>
      <c r="Q20" s="77"/>
      <c r="R20" s="78"/>
      <c r="S20" s="79"/>
      <c r="T20" s="79"/>
      <c r="U20" s="79"/>
      <c r="W20" s="65"/>
      <c r="X20" s="65"/>
      <c r="Y20" s="65"/>
      <c r="Z20" s="65"/>
      <c r="AA20" s="80"/>
      <c r="AB20" s="65"/>
    </row>
    <row r="21" spans="2:28" s="57" customFormat="1" ht="15" customHeight="1" x14ac:dyDescent="0.25">
      <c r="B21" s="70">
        <v>212500</v>
      </c>
      <c r="C21" s="72"/>
      <c r="D21" s="71" t="s">
        <v>19</v>
      </c>
      <c r="E21" s="72"/>
      <c r="F21" s="71"/>
      <c r="G21" s="72"/>
      <c r="H21" s="73"/>
      <c r="J21" s="76"/>
      <c r="L21" s="81"/>
      <c r="M21" s="794"/>
      <c r="N21" s="81"/>
      <c r="P21" s="76"/>
      <c r="Q21" s="77"/>
      <c r="R21" s="78"/>
      <c r="S21" s="79"/>
      <c r="T21" s="79"/>
      <c r="U21" s="79"/>
      <c r="W21" s="65"/>
      <c r="X21" s="65"/>
      <c r="Y21" s="65"/>
      <c r="Z21" s="65"/>
      <c r="AA21" s="80"/>
      <c r="AB21" s="65"/>
    </row>
    <row r="22" spans="2:28" s="57" customFormat="1" ht="15" customHeight="1" x14ac:dyDescent="0.25">
      <c r="B22" s="70">
        <v>212500</v>
      </c>
      <c r="C22" s="72"/>
      <c r="D22" s="71" t="s">
        <v>19</v>
      </c>
      <c r="E22" s="72"/>
      <c r="F22" s="71"/>
      <c r="G22" s="72"/>
      <c r="H22" s="73"/>
      <c r="J22" s="76"/>
      <c r="L22" s="81"/>
      <c r="M22" s="794"/>
      <c r="N22" s="81"/>
      <c r="P22" s="76"/>
      <c r="Q22" s="77"/>
      <c r="R22" s="78"/>
      <c r="S22" s="79"/>
      <c r="T22" s="79"/>
      <c r="U22" s="79"/>
      <c r="W22" s="65"/>
      <c r="X22" s="65"/>
      <c r="Y22" s="65"/>
      <c r="Z22" s="65"/>
      <c r="AA22" s="80"/>
      <c r="AB22" s="65"/>
    </row>
    <row r="23" spans="2:28" s="57" customFormat="1" ht="15" customHeight="1" x14ac:dyDescent="0.25">
      <c r="B23" s="70">
        <v>212500</v>
      </c>
      <c r="C23" s="72"/>
      <c r="D23" s="71" t="s">
        <v>19</v>
      </c>
      <c r="E23" s="72"/>
      <c r="F23" s="71"/>
      <c r="G23" s="72"/>
      <c r="H23" s="73"/>
      <c r="J23" s="76"/>
      <c r="L23" s="81"/>
      <c r="M23" s="794"/>
      <c r="N23" s="81"/>
      <c r="P23" s="76"/>
      <c r="Q23" s="77"/>
      <c r="R23" s="78"/>
      <c r="S23" s="79"/>
      <c r="T23" s="79"/>
      <c r="U23" s="79"/>
      <c r="W23" s="65"/>
      <c r="X23" s="65"/>
      <c r="Y23" s="65"/>
      <c r="Z23" s="65"/>
      <c r="AA23" s="80"/>
      <c r="AB23" s="65"/>
    </row>
    <row r="24" spans="2:28" s="57" customFormat="1" ht="15" customHeight="1" x14ac:dyDescent="0.25">
      <c r="B24" s="70">
        <v>212500</v>
      </c>
      <c r="C24" s="72"/>
      <c r="D24" s="71" t="s">
        <v>19</v>
      </c>
      <c r="E24" s="72"/>
      <c r="F24" s="71"/>
      <c r="G24" s="72"/>
      <c r="H24" s="73"/>
      <c r="J24" s="76"/>
      <c r="L24" s="81"/>
      <c r="M24" s="794"/>
      <c r="N24" s="81"/>
      <c r="P24" s="76"/>
      <c r="Q24" s="77"/>
      <c r="R24" s="78"/>
      <c r="S24" s="79"/>
      <c r="T24" s="79"/>
      <c r="U24" s="79"/>
      <c r="W24" s="65"/>
      <c r="X24" s="65"/>
      <c r="Y24" s="65"/>
      <c r="Z24" s="65"/>
      <c r="AA24" s="80"/>
      <c r="AB24" s="65"/>
    </row>
    <row r="25" spans="2:28" s="57" customFormat="1" ht="15" customHeight="1" x14ac:dyDescent="0.25">
      <c r="B25" s="70">
        <v>212500</v>
      </c>
      <c r="C25" s="72"/>
      <c r="D25" s="71" t="s">
        <v>19</v>
      </c>
      <c r="E25" s="72"/>
      <c r="F25" s="71"/>
      <c r="G25" s="72"/>
      <c r="H25" s="73"/>
      <c r="J25" s="76"/>
      <c r="L25" s="81"/>
      <c r="M25" s="794"/>
      <c r="N25" s="81"/>
      <c r="P25" s="76"/>
      <c r="Q25" s="77"/>
      <c r="R25" s="78"/>
      <c r="S25" s="79"/>
      <c r="T25" s="79"/>
      <c r="U25" s="79"/>
      <c r="W25" s="65"/>
      <c r="X25" s="65"/>
      <c r="Y25" s="65"/>
      <c r="Z25" s="65"/>
      <c r="AA25" s="80"/>
      <c r="AB25" s="65"/>
    </row>
    <row r="26" spans="2:28" s="57" customFormat="1" ht="15" customHeight="1" x14ac:dyDescent="0.25">
      <c r="B26" s="70">
        <v>212500</v>
      </c>
      <c r="C26" s="72"/>
      <c r="D26" s="71" t="s">
        <v>19</v>
      </c>
      <c r="E26" s="72"/>
      <c r="F26" s="71"/>
      <c r="G26" s="72"/>
      <c r="H26" s="73"/>
      <c r="J26" s="76"/>
      <c r="L26" s="81"/>
      <c r="M26" s="794"/>
      <c r="N26" s="81"/>
      <c r="P26" s="76"/>
      <c r="Q26" s="77"/>
      <c r="R26" s="78"/>
      <c r="S26" s="79"/>
      <c r="T26" s="79"/>
      <c r="U26" s="79"/>
      <c r="W26" s="65"/>
      <c r="X26" s="65"/>
      <c r="Y26" s="65"/>
      <c r="Z26" s="65"/>
      <c r="AA26" s="80"/>
      <c r="AB26" s="65"/>
    </row>
    <row r="27" spans="2:28" s="57" customFormat="1" ht="15" customHeight="1" x14ac:dyDescent="0.25">
      <c r="B27" s="70">
        <v>212500</v>
      </c>
      <c r="C27" s="72"/>
      <c r="D27" s="71" t="s">
        <v>19</v>
      </c>
      <c r="E27" s="72"/>
      <c r="F27" s="71"/>
      <c r="G27" s="72"/>
      <c r="H27" s="73"/>
      <c r="J27" s="76"/>
      <c r="L27" s="81"/>
      <c r="M27" s="794"/>
      <c r="N27" s="81"/>
      <c r="P27" s="76"/>
      <c r="Q27" s="77"/>
      <c r="R27" s="78"/>
      <c r="S27" s="79"/>
      <c r="T27" s="79"/>
      <c r="U27" s="79"/>
      <c r="W27" s="65"/>
      <c r="X27" s="65"/>
      <c r="Y27" s="65"/>
      <c r="Z27" s="65"/>
      <c r="AA27" s="80"/>
      <c r="AB27" s="65"/>
    </row>
    <row r="28" spans="2:28" s="57" customFormat="1" ht="15" customHeight="1" x14ac:dyDescent="0.25">
      <c r="B28" s="70">
        <v>212500</v>
      </c>
      <c r="C28" s="72"/>
      <c r="D28" s="71" t="s">
        <v>19</v>
      </c>
      <c r="E28" s="72"/>
      <c r="F28" s="71"/>
      <c r="G28" s="72"/>
      <c r="H28" s="73"/>
      <c r="J28" s="76"/>
      <c r="L28" s="81"/>
      <c r="M28" s="794"/>
      <c r="N28" s="81"/>
      <c r="P28" s="76"/>
      <c r="Q28" s="77"/>
      <c r="R28" s="78"/>
      <c r="S28" s="79"/>
      <c r="T28" s="79"/>
      <c r="U28" s="79"/>
      <c r="W28" s="65"/>
      <c r="X28" s="65"/>
      <c r="Y28" s="65"/>
      <c r="Z28" s="65"/>
      <c r="AA28" s="80"/>
      <c r="AB28" s="65"/>
    </row>
    <row r="29" spans="2:28" s="57" customFormat="1" ht="15" customHeight="1" x14ac:dyDescent="0.25">
      <c r="B29" s="70">
        <v>212500</v>
      </c>
      <c r="C29" s="72"/>
      <c r="D29" s="71" t="s">
        <v>19</v>
      </c>
      <c r="E29" s="72"/>
      <c r="F29" s="71"/>
      <c r="G29" s="72"/>
      <c r="H29" s="73"/>
      <c r="J29" s="76"/>
      <c r="L29" s="81"/>
      <c r="M29" s="794"/>
      <c r="N29" s="81"/>
      <c r="P29" s="76"/>
      <c r="Q29" s="77"/>
      <c r="R29" s="78"/>
      <c r="S29" s="79"/>
      <c r="T29" s="79"/>
      <c r="U29" s="79"/>
      <c r="W29" s="65"/>
      <c r="X29" s="65"/>
      <c r="Y29" s="65"/>
      <c r="Z29" s="65"/>
      <c r="AA29" s="80"/>
      <c r="AB29" s="65"/>
    </row>
    <row r="30" spans="2:28" s="57" customFormat="1" ht="15" customHeight="1" x14ac:dyDescent="0.25">
      <c r="B30" s="70">
        <v>212500</v>
      </c>
      <c r="C30" s="72"/>
      <c r="D30" s="71" t="s">
        <v>19</v>
      </c>
      <c r="E30" s="72"/>
      <c r="F30" s="71"/>
      <c r="G30" s="72"/>
      <c r="H30" s="73"/>
      <c r="J30" s="76"/>
      <c r="L30" s="81"/>
      <c r="M30" s="794"/>
      <c r="N30" s="81"/>
      <c r="P30" s="76"/>
      <c r="Q30" s="77"/>
      <c r="R30" s="78"/>
      <c r="S30" s="79"/>
      <c r="T30" s="79"/>
      <c r="U30" s="79"/>
      <c r="W30" s="65"/>
      <c r="X30" s="65"/>
      <c r="Y30" s="65"/>
      <c r="Z30" s="65"/>
      <c r="AA30" s="80"/>
      <c r="AB30" s="65"/>
    </row>
    <row r="31" spans="2:28" s="57" customFormat="1" ht="15" customHeight="1" x14ac:dyDescent="0.25">
      <c r="B31" s="70">
        <v>212500</v>
      </c>
      <c r="C31" s="72"/>
      <c r="D31" s="71" t="s">
        <v>19</v>
      </c>
      <c r="E31" s="72"/>
      <c r="F31" s="71"/>
      <c r="G31" s="72"/>
      <c r="H31" s="73"/>
      <c r="J31" s="76"/>
      <c r="L31" s="81"/>
      <c r="M31" s="794"/>
      <c r="N31" s="81"/>
      <c r="P31" s="76"/>
      <c r="Q31" s="77"/>
      <c r="R31" s="78"/>
      <c r="S31" s="79"/>
      <c r="T31" s="79"/>
      <c r="U31" s="79"/>
      <c r="W31" s="65"/>
      <c r="X31" s="65"/>
      <c r="Y31" s="65"/>
      <c r="Z31" s="65"/>
      <c r="AA31" s="80"/>
      <c r="AB31" s="65"/>
    </row>
    <row r="32" spans="2:28" s="57" customFormat="1" ht="15" customHeight="1" thickBot="1" x14ac:dyDescent="0.3">
      <c r="E32" s="63"/>
      <c r="F32" s="63" t="s">
        <v>80</v>
      </c>
      <c r="G32" s="63"/>
      <c r="H32" s="82">
        <f>SUM(H14:H31)</f>
        <v>0</v>
      </c>
      <c r="J32" s="344" t="s">
        <v>713</v>
      </c>
      <c r="Q32" s="58"/>
      <c r="R32" s="58"/>
      <c r="S32" s="58"/>
      <c r="T32" s="58"/>
      <c r="U32" s="58"/>
    </row>
    <row r="33" spans="1:17" s="57" customFormat="1" ht="17.25" customHeight="1" x14ac:dyDescent="0.25">
      <c r="E33" s="63"/>
      <c r="F33" s="63"/>
      <c r="G33" s="63"/>
      <c r="J33" s="345" t="str">
        <f ca="1">IF(H32=ACFR_Stmts!F49," ","Problem:Total must agree to Due to Prim Gov per ACFR_Stmts")</f>
        <v xml:space="preserve"> </v>
      </c>
      <c r="K33" s="343"/>
      <c r="L33" s="343"/>
      <c r="M33" s="343"/>
      <c r="N33" s="343"/>
      <c r="O33" s="348"/>
      <c r="P33" s="343"/>
    </row>
    <row r="34" spans="1:17" s="57" customFormat="1" ht="15" customHeight="1" x14ac:dyDescent="0.25">
      <c r="B34" s="83" t="s">
        <v>81</v>
      </c>
      <c r="E34" s="63"/>
      <c r="F34" s="63"/>
      <c r="G34" s="63"/>
      <c r="O34" s="63"/>
    </row>
    <row r="35" spans="1:17" s="57" customFormat="1" ht="15" customHeight="1" x14ac:dyDescent="0.25">
      <c r="E35" s="63"/>
      <c r="F35" s="63"/>
      <c r="G35" s="63"/>
      <c r="O35" s="63"/>
    </row>
    <row r="36" spans="1:17" s="57" customFormat="1" ht="15" customHeight="1" x14ac:dyDescent="0.25">
      <c r="E36" s="63"/>
      <c r="F36" s="63"/>
      <c r="G36" s="63"/>
      <c r="O36" s="63"/>
    </row>
    <row r="37" spans="1:17" s="57" customFormat="1" ht="15" customHeight="1" x14ac:dyDescent="0.25">
      <c r="E37" s="63"/>
      <c r="F37" s="63"/>
      <c r="G37" s="63"/>
      <c r="O37" s="63"/>
    </row>
    <row r="38" spans="1:17" s="57" customFormat="1" ht="15" customHeight="1" x14ac:dyDescent="0.25">
      <c r="A38" s="20" t="str">
        <f ca="1">MID(CELL("filename",A3),FIND("]",CELL("filename",A3))+1,256)</f>
        <v>520</v>
      </c>
      <c r="B38" s="20"/>
      <c r="E38" s="63"/>
      <c r="F38" s="63"/>
      <c r="G38" s="63"/>
      <c r="O38" s="63"/>
    </row>
    <row r="39" spans="1:17" s="57" customFormat="1" ht="15" customHeight="1" x14ac:dyDescent="0.25">
      <c r="A39" s="20" t="s">
        <v>9</v>
      </c>
      <c r="B39" s="20"/>
      <c r="E39" s="63"/>
      <c r="F39" s="63"/>
      <c r="G39" s="63"/>
      <c r="O39" s="63"/>
    </row>
    <row r="40" spans="1:17" s="57" customFormat="1" ht="15" customHeight="1" x14ac:dyDescent="0.25">
      <c r="A40" s="20" t="s">
        <v>10</v>
      </c>
      <c r="B40" s="20"/>
      <c r="E40" s="63"/>
      <c r="F40" s="63"/>
      <c r="G40" s="63"/>
      <c r="O40" s="63"/>
    </row>
    <row r="41" spans="1:17" ht="20.85" customHeight="1" x14ac:dyDescent="0.3">
      <c r="A41" s="20" t="s">
        <v>11</v>
      </c>
      <c r="B41" s="20"/>
    </row>
    <row r="42" spans="1:17" ht="20.85" customHeight="1" x14ac:dyDescent="0.3">
      <c r="A42" s="20" t="s">
        <v>12</v>
      </c>
      <c r="B42" s="20"/>
    </row>
    <row r="43" spans="1:17" ht="20.85" customHeight="1" x14ac:dyDescent="0.3">
      <c r="A43" s="20" t="s">
        <v>13</v>
      </c>
      <c r="B43" s="20"/>
    </row>
    <row r="44" spans="1:17" ht="20.85" customHeight="1" x14ac:dyDescent="0.3">
      <c r="A44" s="20" t="s">
        <v>14</v>
      </c>
      <c r="B44" s="20"/>
      <c r="D44" s="86" t="s">
        <v>19</v>
      </c>
      <c r="E44" s="86"/>
      <c r="F44" s="86"/>
      <c r="G44" s="86"/>
      <c r="H44" s="86"/>
      <c r="I44" s="86"/>
      <c r="J44" s="86"/>
      <c r="K44" s="86"/>
    </row>
    <row r="45" spans="1:17" ht="20.85" customHeight="1" x14ac:dyDescent="0.3">
      <c r="A45" s="20" t="s">
        <v>15</v>
      </c>
      <c r="B45" s="20"/>
      <c r="D45" s="86" t="s">
        <v>19</v>
      </c>
      <c r="E45" s="86"/>
      <c r="F45" s="86"/>
      <c r="G45" s="86"/>
      <c r="L45" s="87" t="s">
        <v>19</v>
      </c>
      <c r="M45" s="87"/>
      <c r="N45" s="87"/>
      <c r="O45" s="87"/>
      <c r="Q45" s="86" t="s">
        <v>19</v>
      </c>
    </row>
    <row r="46" spans="1:17" ht="20.85" customHeight="1" x14ac:dyDescent="0.3">
      <c r="A46" s="20" t="s">
        <v>16</v>
      </c>
      <c r="B46" s="20"/>
    </row>
    <row r="47" spans="1:17" ht="20.85" customHeight="1" x14ac:dyDescent="0.3">
      <c r="A47" s="20" t="s">
        <v>17</v>
      </c>
      <c r="B47" s="20"/>
    </row>
    <row r="48" spans="1:17" ht="20.85" customHeight="1" x14ac:dyDescent="0.3">
      <c r="A48" s="20" t="s">
        <v>18</v>
      </c>
      <c r="B48" s="20"/>
    </row>
    <row r="49" spans="4:17" ht="20.85" customHeight="1" x14ac:dyDescent="0.3"/>
    <row r="50" spans="4:17" ht="20.85" customHeight="1" x14ac:dyDescent="0.3"/>
    <row r="51" spans="4:17" ht="20.85" customHeight="1" x14ac:dyDescent="0.3"/>
    <row r="52" spans="4:17" ht="20.85" customHeight="1" x14ac:dyDescent="0.3">
      <c r="D52" s="84" t="s">
        <v>19</v>
      </c>
    </row>
    <row r="53" spans="4:17" ht="20.85" customHeight="1" x14ac:dyDescent="0.3"/>
    <row r="54" spans="4:17" ht="20.85" customHeight="1" x14ac:dyDescent="0.3"/>
    <row r="55" spans="4:17" ht="20.85" customHeight="1" x14ac:dyDescent="0.3">
      <c r="D55" s="86" t="s">
        <v>19</v>
      </c>
      <c r="E55" s="86"/>
      <c r="F55" s="86"/>
      <c r="G55" s="86"/>
      <c r="L55" s="87" t="s">
        <v>19</v>
      </c>
      <c r="M55" s="87"/>
      <c r="N55" s="87"/>
      <c r="O55" s="87"/>
      <c r="Q55" s="86" t="s">
        <v>19</v>
      </c>
    </row>
  </sheetData>
  <sheetProtection algorithmName="SHA-512" hashValue="Q3SknfWk+YuDo3XIzBVeFptmd/ek8Q/NH1Agwly6334JWIvFfTLz9moDvMn2L5wn63pw5/2x6Me//lLPzSo/Vw==" saltValue="wJ/mCxE4jXIlqWC4oUi4kw==" spinCount="100000" sheet="1" objects="1" scenarios="1" autoFilter="0"/>
  <dataConsolidate/>
  <mergeCells count="12">
    <mergeCell ref="J11:N11"/>
    <mergeCell ref="O9:Q9"/>
    <mergeCell ref="O8:Q8"/>
    <mergeCell ref="D8:G8"/>
    <mergeCell ref="B1:P1"/>
    <mergeCell ref="B2:P2"/>
    <mergeCell ref="B3:P3"/>
    <mergeCell ref="B4:P4"/>
    <mergeCell ref="D6:G6"/>
    <mergeCell ref="D7:H7"/>
    <mergeCell ref="O6:Q6"/>
    <mergeCell ref="O7:Q7"/>
  </mergeCells>
  <phoneticPr fontId="12" type="noConversion"/>
  <conditionalFormatting sqref="Q1:Q3">
    <cfRule type="cellIs" dxfId="15" priority="1" stopIfTrue="1" operator="equal">
      <formula>"na"</formula>
    </cfRule>
  </conditionalFormatting>
  <dataValidations count="2">
    <dataValidation type="textLength" operator="equal" allowBlank="1" showInputMessage="1" showErrorMessage="1" errorTitle="Invalid data!" error="GASB number must be 4 digits." sqref="F14:F31" xr:uid="{00000000-0002-0000-1000-000000000000}">
      <formula1>4</formula1>
    </dataValidation>
    <dataValidation type="list" allowBlank="1" showInputMessage="1" showErrorMessage="1" sqref="D14:D31" xr:uid="{00000000-0002-0000-1000-000001000000}">
      <formula1>Listfor515and520</formula1>
    </dataValidation>
  </dataValidations>
  <hyperlinks>
    <hyperlink ref="B1:P1" location="Index!A1" display="Index!A1" xr:uid="{00000000-0004-0000-1000-000000000000}"/>
  </hyperlinks>
  <pageMargins left="0.95" right="0.45" top="0.5" bottom="0.5" header="0.3" footer="0.3"/>
  <pageSetup scale="89" orientation="landscape" r:id="rId1"/>
  <headerFooter>
    <oddFooter>&amp;R&amp;A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111">
    <pageSetUpPr fitToPage="1"/>
  </sheetPr>
  <dimension ref="A1:AB56"/>
  <sheetViews>
    <sheetView showGridLines="0" topLeftCell="B1" zoomScaleNormal="100" workbookViewId="0">
      <selection activeCell="B1" sqref="A1:XFD1"/>
    </sheetView>
  </sheetViews>
  <sheetFormatPr defaultColWidth="9.109375" defaultRowHeight="15.6" x14ac:dyDescent="0.3"/>
  <cols>
    <col min="1" max="1" width="0" style="84" hidden="1" customWidth="1"/>
    <col min="2" max="2" width="15" style="84" customWidth="1"/>
    <col min="3" max="3" width="1.5546875" style="84" customWidth="1"/>
    <col min="4" max="4" width="7.5546875" style="84" bestFit="1" customWidth="1"/>
    <col min="5" max="5" width="1.5546875" style="84" customWidth="1"/>
    <col min="6" max="6" width="8.5546875" style="84" customWidth="1"/>
    <col min="7" max="7" width="1.5546875" style="84" customWidth="1"/>
    <col min="8" max="8" width="14.44140625" style="84" customWidth="1"/>
    <col min="9" max="9" width="1.5546875" style="84" customWidth="1"/>
    <col min="10" max="10" width="15.44140625" style="84" customWidth="1"/>
    <col min="11" max="11" width="0.88671875" style="84" customWidth="1"/>
    <col min="12" max="12" width="13.44140625" style="84" customWidth="1"/>
    <col min="13" max="13" width="1.109375" style="84" customWidth="1"/>
    <col min="14" max="14" width="13.44140625" style="84" customWidth="1"/>
    <col min="15" max="15" width="0.88671875" style="84" customWidth="1"/>
    <col min="16" max="16" width="36.44140625" style="84" customWidth="1"/>
    <col min="17" max="17" width="3.5546875" style="84" customWidth="1"/>
    <col min="18" max="18" width="2" style="84" customWidth="1"/>
    <col min="19" max="20" width="7" style="84" customWidth="1"/>
    <col min="21" max="21" width="5.88671875" style="84" customWidth="1"/>
    <col min="22" max="22" width="0.88671875" style="84" customWidth="1"/>
    <col min="23" max="23" width="4.44140625" style="84" customWidth="1"/>
    <col min="24" max="24" width="6.44140625" style="84" customWidth="1"/>
    <col min="25" max="26" width="7.44140625" style="84" customWidth="1"/>
    <col min="27" max="27" width="9.5546875" style="84" customWidth="1"/>
    <col min="28" max="28" width="7.88671875" style="84" customWidth="1"/>
    <col min="29" max="16384" width="9.109375" style="84"/>
  </cols>
  <sheetData>
    <row r="1" spans="2:28" s="54" customFormat="1" ht="25.2" customHeight="1" x14ac:dyDescent="0.3">
      <c r="B1" s="854" t="str">
        <f>+Index!$A$1</f>
        <v>Office of the State Controller</v>
      </c>
      <c r="C1" s="854"/>
      <c r="D1" s="854"/>
      <c r="E1" s="854"/>
      <c r="F1" s="854"/>
      <c r="G1" s="854"/>
      <c r="H1" s="854"/>
      <c r="I1" s="854"/>
      <c r="J1" s="854"/>
      <c r="K1" s="854"/>
      <c r="L1" s="854"/>
      <c r="M1" s="854"/>
      <c r="N1" s="854"/>
      <c r="O1" s="854"/>
      <c r="P1" s="854"/>
      <c r="Q1" s="803" t="str">
        <f>IF(Index!$B$59="na","NA","")</f>
        <v/>
      </c>
    </row>
    <row r="2" spans="2:28" s="54" customFormat="1" ht="15" customHeight="1" x14ac:dyDescent="0.3">
      <c r="B2" s="1033" t="str">
        <f>+Index!$A$2</f>
        <v>2022 ACFR Worksheets for Nonmajor Component Units</v>
      </c>
      <c r="C2" s="1033"/>
      <c r="D2" s="1033"/>
      <c r="E2" s="1033"/>
      <c r="F2" s="1033"/>
      <c r="G2" s="1033"/>
      <c r="H2" s="1033"/>
      <c r="I2" s="1033"/>
      <c r="J2" s="1033"/>
      <c r="K2" s="1033"/>
      <c r="L2" s="1033"/>
      <c r="M2" s="1033"/>
      <c r="N2" s="1033"/>
      <c r="O2" s="1033"/>
      <c r="P2" s="1033"/>
      <c r="Q2" s="803"/>
    </row>
    <row r="3" spans="2:28" s="54" customFormat="1" ht="15" customHeight="1" x14ac:dyDescent="0.3">
      <c r="B3" s="1033" t="s">
        <v>670</v>
      </c>
      <c r="C3" s="1033"/>
      <c r="D3" s="1033"/>
      <c r="E3" s="1033"/>
      <c r="F3" s="1033"/>
      <c r="G3" s="1033"/>
      <c r="H3" s="1033"/>
      <c r="I3" s="1033"/>
      <c r="J3" s="1033"/>
      <c r="K3" s="1033"/>
      <c r="L3" s="1033"/>
      <c r="M3" s="1033"/>
      <c r="N3" s="1033"/>
      <c r="O3" s="1033"/>
      <c r="P3" s="1033"/>
      <c r="Q3" s="803"/>
    </row>
    <row r="4" spans="2:28" s="54" customFormat="1" ht="15" customHeight="1" x14ac:dyDescent="0.3">
      <c r="B4" s="1033" t="s">
        <v>1227</v>
      </c>
      <c r="C4" s="1033"/>
      <c r="D4" s="1033"/>
      <c r="E4" s="1033"/>
      <c r="F4" s="1033"/>
      <c r="G4" s="1033"/>
      <c r="H4" s="1033"/>
      <c r="I4" s="1033"/>
      <c r="J4" s="1033"/>
      <c r="K4" s="1033"/>
      <c r="L4" s="1033"/>
      <c r="M4" s="1033"/>
      <c r="N4" s="1033"/>
      <c r="O4" s="1033"/>
      <c r="P4" s="1033"/>
    </row>
    <row r="5" spans="2:28" s="57" customFormat="1" ht="15" customHeight="1" x14ac:dyDescent="0.25">
      <c r="B5" s="55"/>
      <c r="C5" s="56"/>
      <c r="D5" s="56"/>
      <c r="E5" s="56"/>
      <c r="F5" s="56"/>
      <c r="G5" s="56"/>
      <c r="H5" s="56"/>
      <c r="I5" s="56"/>
      <c r="J5" s="56"/>
      <c r="K5" s="55"/>
      <c r="L5" s="56"/>
      <c r="M5" s="56"/>
      <c r="N5" s="56"/>
      <c r="O5" s="56"/>
      <c r="P5" s="56"/>
    </row>
    <row r="6" spans="2:28" s="57" customFormat="1" ht="15" customHeight="1" x14ac:dyDescent="0.25">
      <c r="B6" s="59"/>
      <c r="D6" s="1031"/>
      <c r="E6" s="1031"/>
      <c r="F6" s="1031"/>
      <c r="G6" s="1031"/>
      <c r="H6" s="60"/>
      <c r="L6" s="39" t="s">
        <v>357</v>
      </c>
      <c r="M6" s="39"/>
      <c r="N6" s="39"/>
      <c r="O6" s="908" t="str">
        <f>Index!$D$10</f>
        <v>0A</v>
      </c>
      <c r="P6" s="908"/>
      <c r="Q6" s="908"/>
    </row>
    <row r="7" spans="2:28" s="57" customFormat="1" ht="15" customHeight="1" x14ac:dyDescent="0.25">
      <c r="B7" s="59"/>
      <c r="D7" s="1031"/>
      <c r="E7" s="1031"/>
      <c r="F7" s="1031"/>
      <c r="G7" s="1031"/>
      <c r="H7" s="1031"/>
      <c r="L7" s="39" t="s">
        <v>358</v>
      </c>
      <c r="M7" s="39"/>
      <c r="N7" s="39"/>
      <c r="O7" s="908" t="str">
        <f>Index!$D$11</f>
        <v>NC Housing Finance Agency</v>
      </c>
      <c r="P7" s="908"/>
      <c r="Q7" s="908"/>
    </row>
    <row r="8" spans="2:28" s="57" customFormat="1" ht="15" customHeight="1" x14ac:dyDescent="0.25">
      <c r="B8" s="59" t="s">
        <v>72</v>
      </c>
      <c r="D8" s="1032">
        <f>+Index!D13</f>
        <v>2611</v>
      </c>
      <c r="E8" s="1032"/>
      <c r="F8" s="1032"/>
      <c r="G8" s="1032"/>
      <c r="L8" s="39" t="s">
        <v>359</v>
      </c>
      <c r="M8" s="39"/>
      <c r="N8" s="39"/>
      <c r="O8" s="899" t="str">
        <f>CONCATENATE(Index!$D$14,"  ",Index!$D$16)</f>
        <v xml:space="preserve">  </v>
      </c>
      <c r="P8" s="899"/>
      <c r="Q8" s="899"/>
    </row>
    <row r="9" spans="2:28" s="57" customFormat="1" ht="15" customHeight="1" x14ac:dyDescent="0.25">
      <c r="B9" s="59"/>
      <c r="D9" s="232"/>
      <c r="E9" s="232"/>
      <c r="F9" s="232"/>
      <c r="G9" s="232"/>
      <c r="L9" s="237" t="s">
        <v>196</v>
      </c>
      <c r="M9" s="237"/>
      <c r="N9" s="237"/>
      <c r="O9" s="899">
        <f>+Index!$D$15</f>
        <v>0</v>
      </c>
      <c r="P9" s="899"/>
      <c r="Q9" s="899"/>
    </row>
    <row r="10" spans="2:28" s="57" customFormat="1" ht="15" customHeight="1" thickBot="1" x14ac:dyDescent="0.3">
      <c r="B10" s="61"/>
      <c r="C10" s="61"/>
      <c r="D10" s="61"/>
      <c r="E10" s="61"/>
      <c r="F10" s="61"/>
      <c r="G10" s="61"/>
      <c r="H10" s="61"/>
      <c r="I10" s="61"/>
      <c r="J10" s="61"/>
      <c r="K10" s="62"/>
      <c r="L10" s="61"/>
      <c r="M10" s="61"/>
      <c r="N10" s="61"/>
      <c r="O10" s="61"/>
      <c r="P10" s="61"/>
    </row>
    <row r="11" spans="2:28" s="57" customFormat="1" ht="15" customHeight="1" thickBot="1" x14ac:dyDescent="0.3">
      <c r="B11" s="797" t="s">
        <v>1427</v>
      </c>
      <c r="D11" s="64" t="s">
        <v>73</v>
      </c>
      <c r="E11" s="65"/>
      <c r="F11" s="64" t="s">
        <v>73</v>
      </c>
      <c r="I11" s="55"/>
      <c r="J11" s="1030" t="s">
        <v>74</v>
      </c>
      <c r="K11" s="1030"/>
      <c r="L11" s="1030"/>
      <c r="M11" s="1030"/>
      <c r="N11" s="1030"/>
      <c r="O11" s="66"/>
      <c r="W11" s="65"/>
      <c r="X11" s="65"/>
      <c r="Y11" s="65"/>
      <c r="Z11" s="65"/>
      <c r="AA11" s="65"/>
      <c r="AB11" s="65"/>
    </row>
    <row r="12" spans="2:28" s="57" customFormat="1" ht="15" customHeight="1" x14ac:dyDescent="0.25">
      <c r="B12" s="63" t="s">
        <v>75</v>
      </c>
      <c r="D12" s="64" t="s">
        <v>287</v>
      </c>
      <c r="E12" s="65"/>
      <c r="F12" s="64" t="s">
        <v>65</v>
      </c>
      <c r="I12" s="55"/>
      <c r="J12" s="65"/>
      <c r="K12" s="65"/>
      <c r="L12" s="795" t="s">
        <v>1422</v>
      </c>
      <c r="M12" s="64"/>
      <c r="N12" s="795" t="s">
        <v>1424</v>
      </c>
      <c r="O12" s="65"/>
      <c r="W12" s="65"/>
      <c r="X12" s="65"/>
      <c r="Y12" s="65"/>
      <c r="Z12" s="65"/>
      <c r="AA12" s="65"/>
      <c r="AB12" s="65"/>
    </row>
    <row r="13" spans="2:28" s="57" customFormat="1" ht="15" customHeight="1" thickBot="1" x14ac:dyDescent="0.3">
      <c r="B13" s="67" t="s">
        <v>76</v>
      </c>
      <c r="C13" s="63"/>
      <c r="D13" s="68" t="s">
        <v>286</v>
      </c>
      <c r="E13" s="65"/>
      <c r="F13" s="68" t="s">
        <v>286</v>
      </c>
      <c r="H13" s="67" t="s">
        <v>77</v>
      </c>
      <c r="J13" s="68" t="s">
        <v>78</v>
      </c>
      <c r="K13" s="69"/>
      <c r="L13" s="796" t="s">
        <v>1423</v>
      </c>
      <c r="M13" s="792"/>
      <c r="N13" s="796" t="s">
        <v>1425</v>
      </c>
      <c r="O13" s="69"/>
      <c r="P13" s="67" t="s">
        <v>79</v>
      </c>
      <c r="Q13" s="63"/>
      <c r="W13" s="65"/>
      <c r="X13" s="65"/>
      <c r="Y13" s="65"/>
      <c r="Z13" s="65"/>
      <c r="AA13" s="65"/>
      <c r="AB13" s="65"/>
    </row>
    <row r="14" spans="2:28" s="57" customFormat="1" ht="15" customHeight="1" x14ac:dyDescent="0.25">
      <c r="B14" s="70">
        <v>114700</v>
      </c>
      <c r="C14" s="72"/>
      <c r="D14" s="71"/>
      <c r="E14" s="72"/>
      <c r="F14" s="71"/>
      <c r="G14" s="72"/>
      <c r="H14" s="73"/>
      <c r="J14" s="74"/>
      <c r="K14" s="65"/>
      <c r="L14" s="75"/>
      <c r="M14" s="793"/>
      <c r="N14" s="75"/>
      <c r="P14" s="484"/>
      <c r="Q14" s="77"/>
      <c r="R14" s="78"/>
      <c r="S14" s="79"/>
      <c r="T14" s="79"/>
      <c r="U14" s="79"/>
      <c r="W14" s="65"/>
      <c r="X14" s="65"/>
      <c r="Y14" s="65"/>
      <c r="Z14" s="65"/>
      <c r="AA14" s="80"/>
      <c r="AB14" s="65"/>
    </row>
    <row r="15" spans="2:28" s="57" customFormat="1" ht="15" customHeight="1" x14ac:dyDescent="0.25">
      <c r="B15" s="70">
        <v>114700</v>
      </c>
      <c r="C15" s="72"/>
      <c r="D15" s="71"/>
      <c r="E15" s="72"/>
      <c r="F15" s="71"/>
      <c r="G15" s="72"/>
      <c r="H15" s="73"/>
      <c r="J15" s="74"/>
      <c r="K15" s="65"/>
      <c r="L15" s="75"/>
      <c r="M15" s="793"/>
      <c r="N15" s="75"/>
      <c r="P15" s="76"/>
      <c r="Q15" s="77"/>
      <c r="R15" s="78"/>
      <c r="S15" s="79"/>
      <c r="T15" s="79"/>
      <c r="U15" s="79"/>
      <c r="W15" s="65"/>
      <c r="X15" s="65"/>
      <c r="Y15" s="65"/>
      <c r="Z15" s="65"/>
      <c r="AA15" s="80"/>
      <c r="AB15" s="65"/>
    </row>
    <row r="16" spans="2:28" s="57" customFormat="1" ht="15" customHeight="1" x14ac:dyDescent="0.25">
      <c r="B16" s="70">
        <v>114700</v>
      </c>
      <c r="C16" s="72"/>
      <c r="D16" s="71"/>
      <c r="E16" s="72"/>
      <c r="F16" s="71"/>
      <c r="G16" s="72"/>
      <c r="H16" s="73"/>
      <c r="J16" s="74"/>
      <c r="K16" s="65"/>
      <c r="L16" s="75"/>
      <c r="M16" s="793"/>
      <c r="N16" s="75"/>
      <c r="P16" s="76"/>
      <c r="Q16" s="77"/>
      <c r="R16" s="78"/>
      <c r="S16" s="79"/>
      <c r="T16" s="79"/>
      <c r="U16" s="79"/>
      <c r="W16" s="65"/>
      <c r="X16" s="65"/>
      <c r="Y16" s="65"/>
      <c r="Z16" s="65"/>
      <c r="AA16" s="80"/>
      <c r="AB16" s="65"/>
    </row>
    <row r="17" spans="2:28" s="57" customFormat="1" ht="15" customHeight="1" x14ac:dyDescent="0.25">
      <c r="B17" s="70">
        <v>114700</v>
      </c>
      <c r="C17" s="72"/>
      <c r="D17" s="71"/>
      <c r="E17" s="72"/>
      <c r="F17" s="71"/>
      <c r="G17" s="72"/>
      <c r="H17" s="73"/>
      <c r="J17" s="74"/>
      <c r="K17" s="65"/>
      <c r="L17" s="75"/>
      <c r="M17" s="793"/>
      <c r="N17" s="75"/>
      <c r="P17" s="76"/>
      <c r="Q17" s="77"/>
      <c r="R17" s="78"/>
      <c r="S17" s="79"/>
      <c r="T17" s="79"/>
      <c r="U17" s="79"/>
      <c r="W17" s="65"/>
      <c r="X17" s="65"/>
      <c r="Y17" s="65"/>
      <c r="Z17" s="65"/>
      <c r="AA17" s="80"/>
      <c r="AB17" s="65"/>
    </row>
    <row r="18" spans="2:28" s="57" customFormat="1" ht="15" customHeight="1" x14ac:dyDescent="0.25">
      <c r="B18" s="70">
        <v>114700</v>
      </c>
      <c r="C18" s="72"/>
      <c r="D18" s="71"/>
      <c r="E18" s="72"/>
      <c r="F18" s="71"/>
      <c r="G18" s="72"/>
      <c r="H18" s="73"/>
      <c r="J18" s="76"/>
      <c r="L18" s="81"/>
      <c r="M18" s="794"/>
      <c r="N18" s="81"/>
      <c r="P18" s="76"/>
      <c r="Q18" s="77"/>
      <c r="R18" s="78"/>
      <c r="S18" s="79"/>
      <c r="T18" s="79"/>
      <c r="U18" s="79"/>
      <c r="W18" s="65"/>
      <c r="X18" s="65"/>
      <c r="Y18" s="65"/>
      <c r="Z18" s="65"/>
      <c r="AA18" s="80"/>
      <c r="AB18" s="65"/>
    </row>
    <row r="19" spans="2:28" s="57" customFormat="1" ht="15" customHeight="1" x14ac:dyDescent="0.25">
      <c r="B19" s="70">
        <v>114700</v>
      </c>
      <c r="C19" s="72"/>
      <c r="D19" s="71"/>
      <c r="E19" s="72"/>
      <c r="F19" s="71"/>
      <c r="G19" s="72"/>
      <c r="H19" s="73"/>
      <c r="J19" s="76"/>
      <c r="L19" s="81"/>
      <c r="M19" s="794"/>
      <c r="N19" s="81"/>
      <c r="P19" s="76"/>
      <c r="Q19" s="77"/>
      <c r="R19" s="78"/>
      <c r="S19" s="79"/>
      <c r="T19" s="79"/>
      <c r="U19" s="79"/>
      <c r="W19" s="65"/>
      <c r="X19" s="65"/>
      <c r="Y19" s="65"/>
      <c r="Z19" s="65"/>
      <c r="AA19" s="80"/>
      <c r="AB19" s="65"/>
    </row>
    <row r="20" spans="2:28" s="57" customFormat="1" ht="15" customHeight="1" x14ac:dyDescent="0.25">
      <c r="B20" s="70">
        <v>114700</v>
      </c>
      <c r="C20" s="72"/>
      <c r="D20" s="71"/>
      <c r="E20" s="72"/>
      <c r="F20" s="71"/>
      <c r="G20" s="72"/>
      <c r="H20" s="73"/>
      <c r="J20" s="76"/>
      <c r="L20" s="81"/>
      <c r="M20" s="794"/>
      <c r="N20" s="81"/>
      <c r="P20" s="76"/>
      <c r="Q20" s="77"/>
      <c r="R20" s="78"/>
      <c r="S20" s="79"/>
      <c r="T20" s="79"/>
      <c r="U20" s="79"/>
      <c r="W20" s="65"/>
      <c r="X20" s="65"/>
      <c r="Y20" s="65"/>
      <c r="Z20" s="65"/>
      <c r="AA20" s="80"/>
      <c r="AB20" s="65"/>
    </row>
    <row r="21" spans="2:28" s="57" customFormat="1" ht="15" customHeight="1" x14ac:dyDescent="0.25">
      <c r="B21" s="70">
        <v>114700</v>
      </c>
      <c r="C21" s="72"/>
      <c r="D21" s="71"/>
      <c r="E21" s="72"/>
      <c r="F21" s="71"/>
      <c r="G21" s="72"/>
      <c r="H21" s="73"/>
      <c r="J21" s="76"/>
      <c r="L21" s="81"/>
      <c r="M21" s="794"/>
      <c r="N21" s="81"/>
      <c r="P21" s="76"/>
      <c r="Q21" s="77"/>
      <c r="R21" s="78"/>
      <c r="S21" s="79"/>
      <c r="T21" s="79"/>
      <c r="U21" s="79"/>
      <c r="W21" s="65"/>
      <c r="X21" s="65"/>
      <c r="Y21" s="65"/>
      <c r="Z21" s="65"/>
      <c r="AA21" s="80"/>
      <c r="AB21" s="65"/>
    </row>
    <row r="22" spans="2:28" s="57" customFormat="1" ht="15" customHeight="1" x14ac:dyDescent="0.25">
      <c r="B22" s="70">
        <v>114700</v>
      </c>
      <c r="C22" s="72"/>
      <c r="D22" s="71"/>
      <c r="E22" s="72"/>
      <c r="F22" s="71"/>
      <c r="G22" s="72"/>
      <c r="H22" s="73"/>
      <c r="J22" s="76"/>
      <c r="L22" s="81"/>
      <c r="M22" s="794"/>
      <c r="N22" s="81"/>
      <c r="P22" s="76"/>
      <c r="Q22" s="77"/>
      <c r="R22" s="78"/>
      <c r="S22" s="79"/>
      <c r="T22" s="79"/>
      <c r="U22" s="79"/>
      <c r="W22" s="65"/>
      <c r="X22" s="65"/>
      <c r="Y22" s="65"/>
      <c r="Z22" s="65"/>
      <c r="AA22" s="80"/>
      <c r="AB22" s="65"/>
    </row>
    <row r="23" spans="2:28" s="57" customFormat="1" ht="15" customHeight="1" x14ac:dyDescent="0.25">
      <c r="B23" s="70">
        <v>114700</v>
      </c>
      <c r="C23" s="72"/>
      <c r="D23" s="71"/>
      <c r="E23" s="72"/>
      <c r="F23" s="71"/>
      <c r="G23" s="72"/>
      <c r="H23" s="73"/>
      <c r="J23" s="76"/>
      <c r="L23" s="81"/>
      <c r="M23" s="794"/>
      <c r="N23" s="81"/>
      <c r="P23" s="76"/>
      <c r="Q23" s="77"/>
      <c r="R23" s="78"/>
      <c r="S23" s="79"/>
      <c r="T23" s="79"/>
      <c r="U23" s="79"/>
      <c r="W23" s="65"/>
      <c r="X23" s="65"/>
      <c r="Y23" s="65"/>
      <c r="Z23" s="65"/>
      <c r="AA23" s="80"/>
      <c r="AB23" s="65"/>
    </row>
    <row r="24" spans="2:28" s="57" customFormat="1" ht="15" customHeight="1" thickBot="1" x14ac:dyDescent="0.3">
      <c r="B24" s="72"/>
      <c r="C24" s="72"/>
      <c r="D24" s="300"/>
      <c r="E24" s="72"/>
      <c r="F24" s="63" t="s">
        <v>80</v>
      </c>
      <c r="G24" s="63"/>
      <c r="H24" s="82">
        <f>SUM(H14:H23)</f>
        <v>0</v>
      </c>
      <c r="J24" s="344" t="s">
        <v>713</v>
      </c>
      <c r="P24" s="302"/>
      <c r="Q24" s="77"/>
      <c r="R24" s="78"/>
      <c r="S24" s="79"/>
      <c r="T24" s="79"/>
      <c r="U24" s="79"/>
      <c r="W24" s="65"/>
      <c r="X24" s="65"/>
      <c r="Y24" s="65"/>
      <c r="Z24" s="65"/>
      <c r="AA24" s="80"/>
      <c r="AB24" s="65"/>
    </row>
    <row r="25" spans="2:28" s="57" customFormat="1" ht="15" customHeight="1" x14ac:dyDescent="0.25">
      <c r="B25" s="72"/>
      <c r="C25" s="72"/>
      <c r="D25" s="300"/>
      <c r="E25" s="72"/>
      <c r="F25" s="72"/>
      <c r="G25" s="72"/>
      <c r="H25" s="301"/>
      <c r="J25" s="345" t="str">
        <f ca="1">IF(H24=ACFR_Stmts!F16," ","Problem: Total must agree to Due from St of NC Comp Units per ACFR_ Stmts")</f>
        <v xml:space="preserve"> </v>
      </c>
      <c r="K25" s="343"/>
      <c r="L25" s="346"/>
      <c r="M25" s="346"/>
      <c r="N25" s="346"/>
      <c r="O25" s="343"/>
      <c r="P25" s="347"/>
      <c r="Q25" s="77"/>
      <c r="R25" s="78"/>
      <c r="S25" s="79"/>
      <c r="T25" s="79"/>
      <c r="U25" s="79"/>
      <c r="W25" s="65"/>
      <c r="X25" s="65"/>
      <c r="Y25" s="65"/>
      <c r="Z25" s="65"/>
      <c r="AA25" s="80"/>
      <c r="AB25" s="65"/>
    </row>
    <row r="26" spans="2:28" s="57" customFormat="1" ht="15" customHeight="1" x14ac:dyDescent="0.25">
      <c r="B26" s="797" t="s">
        <v>635</v>
      </c>
      <c r="C26" s="349"/>
      <c r="D26" s="350"/>
      <c r="E26" s="349"/>
      <c r="F26" s="72"/>
      <c r="G26" s="72"/>
      <c r="H26" s="301"/>
      <c r="J26" s="302"/>
      <c r="L26" s="303"/>
      <c r="M26" s="303"/>
      <c r="N26" s="303"/>
      <c r="P26" s="302"/>
      <c r="Q26" s="77"/>
      <c r="R26" s="78"/>
      <c r="S26" s="79"/>
      <c r="T26" s="79"/>
      <c r="U26" s="79"/>
      <c r="W26" s="65"/>
      <c r="X26" s="65"/>
      <c r="Y26" s="65"/>
      <c r="Z26" s="65"/>
      <c r="AA26" s="80"/>
      <c r="AB26" s="65"/>
    </row>
    <row r="27" spans="2:28" s="57" customFormat="1" ht="15" customHeight="1" x14ac:dyDescent="0.25">
      <c r="B27" s="70">
        <v>124200</v>
      </c>
      <c r="C27" s="72"/>
      <c r="D27" s="71"/>
      <c r="E27" s="72"/>
      <c r="F27" s="71"/>
      <c r="G27" s="72"/>
      <c r="H27" s="73">
        <v>0</v>
      </c>
      <c r="J27" s="74"/>
      <c r="K27" s="65"/>
      <c r="L27" s="75"/>
      <c r="M27" s="793"/>
      <c r="N27" s="75"/>
      <c r="P27" s="484"/>
      <c r="Q27" s="77"/>
      <c r="R27" s="78"/>
      <c r="S27" s="79"/>
      <c r="T27" s="79"/>
      <c r="U27" s="79"/>
      <c r="W27" s="65"/>
      <c r="X27" s="65"/>
      <c r="Y27" s="65"/>
      <c r="Z27" s="65"/>
      <c r="AA27" s="80"/>
      <c r="AB27" s="65"/>
    </row>
    <row r="28" spans="2:28" s="57" customFormat="1" ht="15" customHeight="1" x14ac:dyDescent="0.25">
      <c r="B28" s="70">
        <v>124200</v>
      </c>
      <c r="C28" s="72"/>
      <c r="D28" s="71"/>
      <c r="E28" s="72"/>
      <c r="F28" s="71"/>
      <c r="G28" s="72"/>
      <c r="H28" s="73"/>
      <c r="J28" s="76"/>
      <c r="L28" s="81"/>
      <c r="M28" s="794"/>
      <c r="N28" s="81"/>
      <c r="P28" s="76"/>
      <c r="Q28" s="77"/>
      <c r="R28" s="78"/>
      <c r="S28" s="79"/>
      <c r="T28" s="79"/>
      <c r="U28" s="79"/>
      <c r="W28" s="65"/>
      <c r="X28" s="65"/>
      <c r="Y28" s="65"/>
      <c r="Z28" s="65"/>
      <c r="AA28" s="80"/>
      <c r="AB28" s="65"/>
    </row>
    <row r="29" spans="2:28" s="57" customFormat="1" ht="15" customHeight="1" x14ac:dyDescent="0.25">
      <c r="B29" s="70">
        <v>124200</v>
      </c>
      <c r="C29" s="72"/>
      <c r="D29" s="71"/>
      <c r="E29" s="72"/>
      <c r="F29" s="71"/>
      <c r="G29" s="72"/>
      <c r="H29" s="73"/>
      <c r="J29" s="76"/>
      <c r="L29" s="81"/>
      <c r="M29" s="794"/>
      <c r="N29" s="81"/>
      <c r="P29" s="76"/>
      <c r="Q29" s="77"/>
      <c r="R29" s="78"/>
      <c r="S29" s="79"/>
      <c r="T29" s="79"/>
      <c r="U29" s="79"/>
      <c r="W29" s="65"/>
      <c r="X29" s="65"/>
      <c r="Y29" s="65"/>
      <c r="Z29" s="65"/>
      <c r="AA29" s="80"/>
      <c r="AB29" s="65"/>
    </row>
    <row r="30" spans="2:28" s="57" customFormat="1" ht="15" customHeight="1" x14ac:dyDescent="0.25">
      <c r="B30" s="70">
        <v>124200</v>
      </c>
      <c r="C30" s="72"/>
      <c r="D30" s="71"/>
      <c r="E30" s="72"/>
      <c r="F30" s="71"/>
      <c r="G30" s="72"/>
      <c r="H30" s="73"/>
      <c r="J30" s="76"/>
      <c r="L30" s="81"/>
      <c r="M30" s="794"/>
      <c r="N30" s="81"/>
      <c r="P30" s="76"/>
      <c r="Q30" s="77"/>
      <c r="R30" s="78"/>
      <c r="S30" s="79"/>
      <c r="T30" s="79"/>
      <c r="U30" s="79"/>
      <c r="W30" s="65"/>
      <c r="X30" s="65"/>
      <c r="Y30" s="65"/>
      <c r="Z30" s="65"/>
      <c r="AA30" s="80"/>
      <c r="AB30" s="65"/>
    </row>
    <row r="31" spans="2:28" s="57" customFormat="1" ht="15" customHeight="1" x14ac:dyDescent="0.25">
      <c r="B31" s="70">
        <v>124200</v>
      </c>
      <c r="C31" s="72"/>
      <c r="D31" s="71"/>
      <c r="E31" s="72"/>
      <c r="F31" s="71"/>
      <c r="G31" s="72"/>
      <c r="H31" s="73"/>
      <c r="J31" s="76"/>
      <c r="L31" s="81"/>
      <c r="M31" s="794"/>
      <c r="N31" s="81"/>
      <c r="P31" s="76"/>
      <c r="Q31" s="77"/>
      <c r="R31" s="78"/>
      <c r="S31" s="79"/>
      <c r="T31" s="79"/>
      <c r="U31" s="79"/>
      <c r="W31" s="65"/>
      <c r="X31" s="65"/>
      <c r="Y31" s="65"/>
      <c r="Z31" s="65"/>
      <c r="AA31" s="80"/>
      <c r="AB31" s="65"/>
    </row>
    <row r="32" spans="2:28" s="57" customFormat="1" ht="15" customHeight="1" x14ac:dyDescent="0.25">
      <c r="B32" s="70">
        <v>124200</v>
      </c>
      <c r="C32" s="72"/>
      <c r="D32" s="71"/>
      <c r="E32" s="72"/>
      <c r="F32" s="71"/>
      <c r="G32" s="72"/>
      <c r="H32" s="73"/>
      <c r="J32" s="76"/>
      <c r="L32" s="81"/>
      <c r="M32" s="794"/>
      <c r="N32" s="81"/>
      <c r="P32" s="76"/>
      <c r="Q32" s="77"/>
      <c r="R32" s="78"/>
      <c r="S32" s="79"/>
      <c r="T32" s="79"/>
      <c r="U32" s="79"/>
      <c r="W32" s="65"/>
      <c r="X32" s="65"/>
      <c r="Y32" s="65"/>
      <c r="Z32" s="65"/>
      <c r="AA32" s="80"/>
      <c r="AB32" s="65"/>
    </row>
    <row r="33" spans="1:21" s="57" customFormat="1" ht="15" customHeight="1" thickBot="1" x14ac:dyDescent="0.3">
      <c r="E33" s="63"/>
      <c r="F33" s="63" t="s">
        <v>80</v>
      </c>
      <c r="G33" s="63"/>
      <c r="H33" s="82">
        <f>SUM(H27:H32)</f>
        <v>0</v>
      </c>
      <c r="J33" s="344" t="s">
        <v>713</v>
      </c>
      <c r="Q33" s="58"/>
      <c r="R33" s="58"/>
      <c r="S33" s="58"/>
      <c r="T33" s="58"/>
      <c r="U33" s="58"/>
    </row>
    <row r="34" spans="1:21" s="57" customFormat="1" ht="15" customHeight="1" x14ac:dyDescent="0.25">
      <c r="E34" s="63"/>
      <c r="F34" s="63"/>
      <c r="G34" s="63"/>
      <c r="J34" s="345" t="str">
        <f ca="1">IF(H33=ACFR_Stmts!F27," ","Problem: Total must agree to Restr Due from St of NC Comp units per ACFR_ Stmts")</f>
        <v xml:space="preserve"> </v>
      </c>
      <c r="K34" s="343"/>
      <c r="L34" s="343"/>
      <c r="M34" s="343"/>
      <c r="N34" s="343"/>
      <c r="O34" s="348"/>
      <c r="P34" s="343"/>
    </row>
    <row r="35" spans="1:21" s="57" customFormat="1" ht="15" customHeight="1" x14ac:dyDescent="0.25">
      <c r="B35" s="83" t="s">
        <v>81</v>
      </c>
      <c r="E35" s="63"/>
      <c r="F35" s="63"/>
      <c r="G35" s="63"/>
      <c r="O35" s="63"/>
    </row>
    <row r="36" spans="1:21" s="57" customFormat="1" ht="15" customHeight="1" x14ac:dyDescent="0.25">
      <c r="E36" s="63"/>
      <c r="F36" s="63"/>
      <c r="G36" s="63"/>
      <c r="O36" s="63"/>
    </row>
    <row r="37" spans="1:21" s="57" customFormat="1" ht="15" customHeight="1" x14ac:dyDescent="0.25">
      <c r="E37" s="63"/>
      <c r="F37" s="63"/>
      <c r="G37" s="63"/>
      <c r="O37" s="63"/>
    </row>
    <row r="38" spans="1:21" s="57" customFormat="1" ht="15" customHeight="1" x14ac:dyDescent="0.25">
      <c r="E38" s="63"/>
      <c r="F38" s="63"/>
      <c r="G38" s="63"/>
      <c r="O38" s="63"/>
    </row>
    <row r="39" spans="1:21" s="57" customFormat="1" ht="15" customHeight="1" x14ac:dyDescent="0.25">
      <c r="A39" s="20" t="str">
        <f ca="1">MID(CELL("filename",A3),FIND("]",CELL("filename",A3))+1,256)</f>
        <v>525</v>
      </c>
      <c r="B39" s="20"/>
      <c r="E39" s="63"/>
      <c r="F39" s="63"/>
      <c r="G39" s="63"/>
      <c r="O39" s="63"/>
    </row>
    <row r="40" spans="1:21" s="57" customFormat="1" ht="15" customHeight="1" x14ac:dyDescent="0.25">
      <c r="A40" s="20" t="s">
        <v>9</v>
      </c>
      <c r="B40" s="20"/>
      <c r="E40" s="63"/>
      <c r="F40" s="63"/>
      <c r="G40" s="63"/>
      <c r="O40" s="63"/>
    </row>
    <row r="41" spans="1:21" s="57" customFormat="1" ht="15" customHeight="1" x14ac:dyDescent="0.25">
      <c r="A41" s="20" t="s">
        <v>10</v>
      </c>
      <c r="B41" s="20"/>
      <c r="E41" s="63"/>
      <c r="F41" s="63"/>
      <c r="G41" s="63"/>
      <c r="O41" s="63"/>
    </row>
    <row r="42" spans="1:21" s="57" customFormat="1" ht="15" customHeight="1" x14ac:dyDescent="0.25">
      <c r="A42" s="20" t="s">
        <v>11</v>
      </c>
      <c r="B42" s="20"/>
      <c r="E42" s="63"/>
      <c r="F42" s="63"/>
      <c r="G42" s="63"/>
      <c r="O42" s="63"/>
    </row>
    <row r="43" spans="1:21" s="57" customFormat="1" ht="15" customHeight="1" x14ac:dyDescent="0.25">
      <c r="A43" s="20" t="s">
        <v>12</v>
      </c>
      <c r="B43" s="20"/>
      <c r="E43" s="63"/>
      <c r="F43" s="63"/>
      <c r="G43" s="63"/>
      <c r="O43" s="63"/>
    </row>
    <row r="44" spans="1:21" ht="20.85" customHeight="1" x14ac:dyDescent="0.3">
      <c r="A44" s="20" t="s">
        <v>13</v>
      </c>
      <c r="B44" s="20"/>
    </row>
    <row r="45" spans="1:21" ht="20.85" customHeight="1" x14ac:dyDescent="0.3">
      <c r="A45" s="20" t="s">
        <v>14</v>
      </c>
      <c r="B45" s="20"/>
      <c r="D45" s="86" t="s">
        <v>19</v>
      </c>
      <c r="E45" s="86"/>
      <c r="F45" s="86"/>
      <c r="G45" s="86"/>
      <c r="H45" s="86"/>
      <c r="I45" s="86"/>
      <c r="J45" s="86"/>
      <c r="K45" s="86"/>
    </row>
    <row r="46" spans="1:21" ht="20.85" customHeight="1" x14ac:dyDescent="0.3">
      <c r="A46" s="20" t="s">
        <v>15</v>
      </c>
      <c r="B46" s="20"/>
      <c r="D46" s="86" t="s">
        <v>19</v>
      </c>
      <c r="E46" s="86"/>
      <c r="F46" s="86"/>
      <c r="G46" s="86"/>
      <c r="L46" s="87" t="s">
        <v>19</v>
      </c>
      <c r="M46" s="87"/>
      <c r="N46" s="87"/>
      <c r="O46" s="87"/>
      <c r="Q46" s="86" t="s">
        <v>19</v>
      </c>
    </row>
    <row r="47" spans="1:21" ht="20.85" customHeight="1" x14ac:dyDescent="0.3">
      <c r="A47" s="20" t="s">
        <v>16</v>
      </c>
      <c r="B47" s="20"/>
    </row>
    <row r="48" spans="1:21" ht="20.85" customHeight="1" x14ac:dyDescent="0.3">
      <c r="A48" s="20" t="s">
        <v>17</v>
      </c>
      <c r="B48" s="20"/>
    </row>
    <row r="49" spans="1:17" ht="20.85" customHeight="1" x14ac:dyDescent="0.3">
      <c r="A49" s="20" t="s">
        <v>18</v>
      </c>
      <c r="B49" s="20"/>
    </row>
    <row r="50" spans="1:17" ht="20.85" customHeight="1" x14ac:dyDescent="0.3"/>
    <row r="51" spans="1:17" ht="20.85" customHeight="1" x14ac:dyDescent="0.3"/>
    <row r="52" spans="1:17" ht="20.85" customHeight="1" x14ac:dyDescent="0.3"/>
    <row r="53" spans="1:17" ht="20.85" customHeight="1" x14ac:dyDescent="0.3">
      <c r="D53" s="84" t="s">
        <v>19</v>
      </c>
    </row>
    <row r="54" spans="1:17" ht="20.85" customHeight="1" x14ac:dyDescent="0.3"/>
    <row r="55" spans="1:17" ht="20.85" customHeight="1" x14ac:dyDescent="0.3"/>
    <row r="56" spans="1:17" ht="20.85" customHeight="1" x14ac:dyDescent="0.3">
      <c r="D56" s="86" t="s">
        <v>19</v>
      </c>
      <c r="E56" s="86"/>
      <c r="F56" s="86"/>
      <c r="G56" s="86"/>
      <c r="L56" s="87" t="s">
        <v>19</v>
      </c>
      <c r="M56" s="87"/>
      <c r="N56" s="87"/>
      <c r="O56" s="87"/>
      <c r="Q56" s="86" t="s">
        <v>19</v>
      </c>
    </row>
  </sheetData>
  <sheetProtection algorithmName="SHA-512" hashValue="fPAwhX64SXZkIdUnkhXeBuKWQ8E+k5ay40PVZfi/lEIyekMoU99K5KsmCqwtL3nW3g57penj5EEHGBUxwd/9Hg==" saltValue="iU/IQhV/1Q+Ib5FPPAIB2g==" spinCount="100000" sheet="1" objects="1" scenarios="1" autoFilter="0"/>
  <dataConsolidate/>
  <mergeCells count="12">
    <mergeCell ref="J11:N11"/>
    <mergeCell ref="O9:Q9"/>
    <mergeCell ref="O8:Q8"/>
    <mergeCell ref="D8:G8"/>
    <mergeCell ref="B1:P1"/>
    <mergeCell ref="B2:P2"/>
    <mergeCell ref="B3:P3"/>
    <mergeCell ref="B4:P4"/>
    <mergeCell ref="D6:G6"/>
    <mergeCell ref="D7:H7"/>
    <mergeCell ref="O6:Q6"/>
    <mergeCell ref="O7:Q7"/>
  </mergeCells>
  <phoneticPr fontId="12" type="noConversion"/>
  <conditionalFormatting sqref="Q1:Q3">
    <cfRule type="cellIs" dxfId="14" priority="1" stopIfTrue="1" operator="equal">
      <formula>"na"</formula>
    </cfRule>
  </conditionalFormatting>
  <dataValidations count="3">
    <dataValidation type="textLength" operator="equal" allowBlank="1" showInputMessage="1" showErrorMessage="1" errorTitle="Invalid data!" error="GASB number must be 4 digits." sqref="F14:F23 F27:F32" xr:uid="{00000000-0002-0000-1100-000000000000}">
      <formula1>4</formula1>
    </dataValidation>
    <dataValidation type="list" allowBlank="1" showInputMessage="1" showErrorMessage="1" sqref="D24:D26" xr:uid="{00000000-0002-0000-1100-000001000000}">
      <formula1>compnumtxt</formula1>
    </dataValidation>
    <dataValidation type="list" allowBlank="1" showInputMessage="1" showErrorMessage="1" sqref="D14:D23 D27:D32" xr:uid="{00000000-0002-0000-1100-000002000000}">
      <formula1>Listfor525and530</formula1>
    </dataValidation>
  </dataValidations>
  <hyperlinks>
    <hyperlink ref="B1:P1" location="Index!A1" display="Index!A1" xr:uid="{00000000-0004-0000-1100-000000000000}"/>
  </hyperlinks>
  <pageMargins left="0.95" right="0.45" top="0.5" bottom="0.5" header="0.3" footer="0.3"/>
  <pageSetup scale="91" orientation="landscape" r:id="rId1"/>
  <headerFooter>
    <oddFooter>&amp;R&amp;A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121">
    <pageSetUpPr fitToPage="1"/>
  </sheetPr>
  <dimension ref="A1:AB55"/>
  <sheetViews>
    <sheetView showGridLines="0" topLeftCell="B1" zoomScaleNormal="100" workbookViewId="0">
      <selection activeCell="H14" sqref="H14"/>
    </sheetView>
  </sheetViews>
  <sheetFormatPr defaultColWidth="9.109375" defaultRowHeight="15.6" x14ac:dyDescent="0.3"/>
  <cols>
    <col min="1" max="1" width="5" style="84" bestFit="1" customWidth="1"/>
    <col min="2" max="2" width="13.5546875" style="84" customWidth="1"/>
    <col min="3" max="3" width="1.5546875" style="84" customWidth="1"/>
    <col min="4" max="4" width="7.5546875" style="84" bestFit="1" customWidth="1"/>
    <col min="5" max="5" width="1.5546875" style="84" customWidth="1"/>
    <col min="6" max="6" width="8.5546875" style="84" customWidth="1"/>
    <col min="7" max="7" width="1.5546875" style="84" customWidth="1"/>
    <col min="8" max="8" width="14.44140625" style="84" customWidth="1"/>
    <col min="9" max="9" width="1.5546875" style="84" customWidth="1"/>
    <col min="10" max="10" width="15.44140625" style="84" customWidth="1"/>
    <col min="11" max="11" width="0.88671875" style="84" customWidth="1"/>
    <col min="12" max="12" width="13.44140625" style="84" customWidth="1"/>
    <col min="13" max="13" width="1.33203125" style="84" customWidth="1"/>
    <col min="14" max="14" width="13.44140625" style="84" customWidth="1"/>
    <col min="15" max="15" width="1.33203125" style="84" customWidth="1"/>
    <col min="16" max="16" width="36.44140625" style="84" customWidth="1"/>
    <col min="17" max="17" width="4.5546875" style="84" customWidth="1"/>
    <col min="18" max="18" width="2" style="84" customWidth="1"/>
    <col min="19" max="21" width="5.88671875" style="84" customWidth="1"/>
    <col min="22" max="22" width="0.88671875" style="84" customWidth="1"/>
    <col min="23" max="23" width="4.44140625" style="84" customWidth="1"/>
    <col min="24" max="24" width="6.44140625" style="84" customWidth="1"/>
    <col min="25" max="26" width="7.44140625" style="84" customWidth="1"/>
    <col min="27" max="27" width="10.5546875" style="84" customWidth="1"/>
    <col min="28" max="28" width="7.88671875" style="84" customWidth="1"/>
    <col min="29" max="16384" width="9.109375" style="84"/>
  </cols>
  <sheetData>
    <row r="1" spans="2:28" s="54" customFormat="1" ht="25.2" customHeight="1" x14ac:dyDescent="0.3">
      <c r="B1" s="854" t="str">
        <f>+Index!$A$1</f>
        <v>Office of the State Controller</v>
      </c>
      <c r="C1" s="854"/>
      <c r="D1" s="854"/>
      <c r="E1" s="854"/>
      <c r="F1" s="854"/>
      <c r="G1" s="854"/>
      <c r="H1" s="854"/>
      <c r="I1" s="854"/>
      <c r="J1" s="854"/>
      <c r="K1" s="854"/>
      <c r="L1" s="854"/>
      <c r="M1" s="854"/>
      <c r="N1" s="854"/>
      <c r="O1" s="854"/>
      <c r="P1" s="854"/>
      <c r="Q1" s="803" t="str">
        <f>IF(Index!$B$60="na","NA","")</f>
        <v/>
      </c>
    </row>
    <row r="2" spans="2:28" s="54" customFormat="1" ht="15" customHeight="1" x14ac:dyDescent="0.3">
      <c r="B2" s="1033" t="str">
        <f>+Index!$A$2</f>
        <v>2022 ACFR Worksheets for Nonmajor Component Units</v>
      </c>
      <c r="C2" s="1033"/>
      <c r="D2" s="1033"/>
      <c r="E2" s="1033"/>
      <c r="F2" s="1033"/>
      <c r="G2" s="1033"/>
      <c r="H2" s="1033"/>
      <c r="I2" s="1033"/>
      <c r="J2" s="1033"/>
      <c r="K2" s="1033"/>
      <c r="L2" s="1033"/>
      <c r="M2" s="1033"/>
      <c r="N2" s="1033"/>
      <c r="O2" s="1033"/>
      <c r="P2" s="1033"/>
      <c r="Q2" s="803"/>
    </row>
    <row r="3" spans="2:28" s="54" customFormat="1" ht="15" customHeight="1" x14ac:dyDescent="0.3">
      <c r="B3" s="1033" t="s">
        <v>638</v>
      </c>
      <c r="C3" s="1033"/>
      <c r="D3" s="1033"/>
      <c r="E3" s="1033"/>
      <c r="F3" s="1033"/>
      <c r="G3" s="1033"/>
      <c r="H3" s="1033"/>
      <c r="I3" s="1033"/>
      <c r="J3" s="1033"/>
      <c r="K3" s="1033"/>
      <c r="L3" s="1033"/>
      <c r="M3" s="1033"/>
      <c r="N3" s="1033"/>
      <c r="O3" s="1033"/>
      <c r="P3" s="1033"/>
      <c r="Q3" s="803"/>
    </row>
    <row r="4" spans="2:28" s="54" customFormat="1" ht="15" customHeight="1" x14ac:dyDescent="0.3">
      <c r="B4" s="1033" t="s">
        <v>1227</v>
      </c>
      <c r="C4" s="1033"/>
      <c r="D4" s="1033"/>
      <c r="E4" s="1033"/>
      <c r="F4" s="1033"/>
      <c r="G4" s="1033"/>
      <c r="H4" s="1033"/>
      <c r="I4" s="1033"/>
      <c r="J4" s="1033"/>
      <c r="K4" s="1033"/>
      <c r="L4" s="1033"/>
      <c r="M4" s="1033"/>
      <c r="N4" s="1033"/>
      <c r="O4" s="1033"/>
      <c r="P4" s="1033"/>
    </row>
    <row r="5" spans="2:28" s="57" customFormat="1" ht="15" customHeight="1" x14ac:dyDescent="0.25">
      <c r="B5" s="55"/>
      <c r="C5" s="56"/>
      <c r="D5" s="56"/>
      <c r="E5" s="56"/>
      <c r="F5" s="56"/>
      <c r="G5" s="56"/>
      <c r="H5" s="56"/>
      <c r="I5" s="56"/>
      <c r="J5" s="56"/>
      <c r="K5" s="55"/>
      <c r="L5" s="56"/>
      <c r="M5" s="56"/>
      <c r="N5" s="56"/>
      <c r="O5" s="56"/>
      <c r="P5" s="56"/>
    </row>
    <row r="6" spans="2:28" s="57" customFormat="1" ht="15" customHeight="1" x14ac:dyDescent="0.25">
      <c r="B6" s="59"/>
      <c r="D6" s="1031"/>
      <c r="E6" s="1031"/>
      <c r="F6" s="1031"/>
      <c r="G6" s="1031"/>
      <c r="H6" s="60"/>
      <c r="L6" s="39" t="s">
        <v>357</v>
      </c>
      <c r="M6" s="39"/>
      <c r="N6" s="39"/>
      <c r="O6" s="908" t="str">
        <f>Index!$D$10</f>
        <v>0A</v>
      </c>
      <c r="P6" s="908"/>
      <c r="Q6" s="908"/>
    </row>
    <row r="7" spans="2:28" s="57" customFormat="1" ht="15" customHeight="1" x14ac:dyDescent="0.25">
      <c r="B7" s="59"/>
      <c r="D7" s="1031"/>
      <c r="E7" s="1031"/>
      <c r="F7" s="1031"/>
      <c r="G7" s="1031"/>
      <c r="H7" s="1031"/>
      <c r="L7" s="39" t="s">
        <v>358</v>
      </c>
      <c r="M7" s="39"/>
      <c r="N7" s="39"/>
      <c r="O7" s="908" t="str">
        <f>Index!$D$11</f>
        <v>NC Housing Finance Agency</v>
      </c>
      <c r="P7" s="908"/>
      <c r="Q7" s="908"/>
    </row>
    <row r="8" spans="2:28" s="57" customFormat="1" ht="15" customHeight="1" x14ac:dyDescent="0.25">
      <c r="B8" s="59" t="s">
        <v>72</v>
      </c>
      <c r="D8" s="1032">
        <f>+Index!D13</f>
        <v>2611</v>
      </c>
      <c r="E8" s="1032"/>
      <c r="F8" s="1032"/>
      <c r="G8" s="1032"/>
      <c r="L8" s="39" t="s">
        <v>359</v>
      </c>
      <c r="M8" s="39"/>
      <c r="N8" s="39"/>
      <c r="O8" s="899" t="str">
        <f>CONCATENATE(Index!$D$14,"  ",Index!$D$16)</f>
        <v xml:space="preserve">  </v>
      </c>
      <c r="P8" s="899"/>
      <c r="Q8" s="899"/>
    </row>
    <row r="9" spans="2:28" s="57" customFormat="1" ht="15" customHeight="1" x14ac:dyDescent="0.25">
      <c r="B9" s="59"/>
      <c r="D9" s="232"/>
      <c r="E9" s="232"/>
      <c r="F9" s="232"/>
      <c r="G9" s="232"/>
      <c r="L9" s="237" t="s">
        <v>196</v>
      </c>
      <c r="M9" s="237"/>
      <c r="N9" s="237"/>
      <c r="O9" s="899">
        <f>+Index!$D$15</f>
        <v>0</v>
      </c>
      <c r="P9" s="899"/>
      <c r="Q9" s="899"/>
    </row>
    <row r="10" spans="2:28" s="57" customFormat="1" ht="15" customHeight="1" thickBot="1" x14ac:dyDescent="0.3">
      <c r="B10" s="61"/>
      <c r="C10" s="61"/>
      <c r="D10" s="61"/>
      <c r="E10" s="61"/>
      <c r="F10" s="61"/>
      <c r="G10" s="61"/>
      <c r="H10" s="61"/>
      <c r="I10" s="61"/>
      <c r="J10" s="61"/>
      <c r="K10" s="62"/>
      <c r="L10" s="61"/>
      <c r="M10" s="61"/>
      <c r="N10" s="61"/>
      <c r="O10" s="61"/>
      <c r="P10" s="61"/>
    </row>
    <row r="11" spans="2:28" s="57" customFormat="1" ht="15" customHeight="1" thickBot="1" x14ac:dyDescent="0.3">
      <c r="B11" s="63"/>
      <c r="D11" s="64" t="s">
        <v>82</v>
      </c>
      <c r="E11" s="65"/>
      <c r="F11" s="64" t="s">
        <v>82</v>
      </c>
      <c r="I11" s="55"/>
      <c r="J11" s="1030" t="s">
        <v>83</v>
      </c>
      <c r="K11" s="1030"/>
      <c r="L11" s="1030"/>
      <c r="M11" s="1030"/>
      <c r="N11" s="1030"/>
      <c r="O11" s="66"/>
      <c r="W11" s="65"/>
      <c r="X11" s="65"/>
      <c r="Y11" s="65"/>
      <c r="Z11" s="65"/>
      <c r="AA11" s="65"/>
      <c r="AB11" s="65"/>
    </row>
    <row r="12" spans="2:28" s="57" customFormat="1" ht="15" customHeight="1" x14ac:dyDescent="0.25">
      <c r="B12" s="63" t="s">
        <v>75</v>
      </c>
      <c r="D12" s="64" t="s">
        <v>287</v>
      </c>
      <c r="E12" s="65"/>
      <c r="F12" s="64" t="s">
        <v>65</v>
      </c>
      <c r="I12" s="55"/>
      <c r="J12" s="65"/>
      <c r="K12" s="65"/>
      <c r="L12" s="795" t="s">
        <v>1422</v>
      </c>
      <c r="M12" s="64"/>
      <c r="N12" s="795" t="s">
        <v>1424</v>
      </c>
      <c r="O12" s="65"/>
      <c r="W12" s="65"/>
      <c r="X12" s="65"/>
      <c r="Y12" s="65"/>
      <c r="Z12" s="65"/>
      <c r="AA12" s="65"/>
      <c r="AB12" s="65"/>
    </row>
    <row r="13" spans="2:28" s="57" customFormat="1" ht="15" customHeight="1" thickBot="1" x14ac:dyDescent="0.3">
      <c r="B13" s="67" t="s">
        <v>76</v>
      </c>
      <c r="C13" s="63"/>
      <c r="D13" s="68" t="s">
        <v>286</v>
      </c>
      <c r="E13" s="65"/>
      <c r="F13" s="68" t="s">
        <v>286</v>
      </c>
      <c r="H13" s="67" t="s">
        <v>77</v>
      </c>
      <c r="J13" s="68" t="s">
        <v>78</v>
      </c>
      <c r="K13" s="69"/>
      <c r="L13" s="796" t="s">
        <v>1423</v>
      </c>
      <c r="M13" s="792"/>
      <c r="N13" s="796" t="s">
        <v>1425</v>
      </c>
      <c r="O13" s="69"/>
      <c r="P13" s="67" t="s">
        <v>79</v>
      </c>
      <c r="Q13" s="63" t="s">
        <v>19</v>
      </c>
      <c r="W13" s="65"/>
      <c r="X13" s="65"/>
      <c r="Y13" s="65"/>
      <c r="Z13" s="65"/>
      <c r="AA13" s="65"/>
      <c r="AB13" s="65"/>
    </row>
    <row r="14" spans="2:28" s="57" customFormat="1" ht="15" customHeight="1" x14ac:dyDescent="0.25">
      <c r="B14" s="70">
        <v>212600</v>
      </c>
      <c r="C14" s="72"/>
      <c r="D14" s="71" t="s">
        <v>19</v>
      </c>
      <c r="E14" s="72"/>
      <c r="F14" s="71"/>
      <c r="G14" s="72"/>
      <c r="H14" s="73"/>
      <c r="J14" s="74" t="s">
        <v>19</v>
      </c>
      <c r="K14" s="65"/>
      <c r="L14" s="75" t="s">
        <v>19</v>
      </c>
      <c r="M14" s="793"/>
      <c r="N14" s="75" t="s">
        <v>19</v>
      </c>
      <c r="P14" s="76"/>
      <c r="Q14" s="77"/>
      <c r="R14" s="78"/>
      <c r="S14" s="79"/>
      <c r="T14" s="79"/>
      <c r="U14" s="79"/>
      <c r="W14" s="65"/>
      <c r="X14" s="65"/>
      <c r="Y14" s="65"/>
      <c r="Z14" s="65"/>
      <c r="AA14" s="80"/>
      <c r="AB14" s="65"/>
    </row>
    <row r="15" spans="2:28" s="57" customFormat="1" ht="15" customHeight="1" x14ac:dyDescent="0.25">
      <c r="B15" s="70">
        <v>212600</v>
      </c>
      <c r="C15" s="72"/>
      <c r="D15" s="71" t="s">
        <v>19</v>
      </c>
      <c r="E15" s="72"/>
      <c r="F15" s="71"/>
      <c r="G15" s="72"/>
      <c r="H15" s="73"/>
      <c r="J15" s="74"/>
      <c r="K15" s="65"/>
      <c r="L15" s="75"/>
      <c r="M15" s="793"/>
      <c r="N15" s="75"/>
      <c r="P15" s="76"/>
      <c r="Q15" s="77"/>
      <c r="R15" s="78"/>
      <c r="S15" s="79"/>
      <c r="T15" s="79"/>
      <c r="U15" s="79"/>
      <c r="W15" s="65"/>
      <c r="X15" s="65"/>
      <c r="Y15" s="65"/>
      <c r="Z15" s="65"/>
      <c r="AA15" s="80"/>
      <c r="AB15" s="65"/>
    </row>
    <row r="16" spans="2:28" s="57" customFormat="1" ht="15" customHeight="1" x14ac:dyDescent="0.25">
      <c r="B16" s="70">
        <v>212600</v>
      </c>
      <c r="C16" s="72"/>
      <c r="D16" s="71" t="s">
        <v>19</v>
      </c>
      <c r="E16" s="72"/>
      <c r="F16" s="71"/>
      <c r="G16" s="72"/>
      <c r="H16" s="73"/>
      <c r="J16" s="74"/>
      <c r="K16" s="65"/>
      <c r="L16" s="75"/>
      <c r="M16" s="793"/>
      <c r="N16" s="75"/>
      <c r="P16" s="76"/>
      <c r="Q16" s="77"/>
      <c r="R16" s="78"/>
      <c r="S16" s="79"/>
      <c r="T16" s="79"/>
      <c r="U16" s="79"/>
      <c r="W16" s="65"/>
      <c r="X16" s="65"/>
      <c r="Y16" s="65"/>
      <c r="Z16" s="65"/>
      <c r="AA16" s="80"/>
      <c r="AB16" s="65"/>
    </row>
    <row r="17" spans="2:28" s="57" customFormat="1" ht="15" customHeight="1" x14ac:dyDescent="0.25">
      <c r="B17" s="70">
        <v>212600</v>
      </c>
      <c r="C17" s="72"/>
      <c r="D17" s="71" t="s">
        <v>19</v>
      </c>
      <c r="E17" s="72"/>
      <c r="F17" s="71"/>
      <c r="G17" s="72"/>
      <c r="H17" s="73"/>
      <c r="J17" s="74"/>
      <c r="K17" s="65"/>
      <c r="L17" s="75"/>
      <c r="M17" s="793"/>
      <c r="N17" s="75"/>
      <c r="P17" s="76"/>
      <c r="Q17" s="77"/>
      <c r="R17" s="78"/>
      <c r="S17" s="79"/>
      <c r="T17" s="79"/>
      <c r="U17" s="79"/>
      <c r="W17" s="65"/>
      <c r="X17" s="65"/>
      <c r="Y17" s="65"/>
      <c r="Z17" s="65"/>
      <c r="AA17" s="80"/>
      <c r="AB17" s="65"/>
    </row>
    <row r="18" spans="2:28" s="57" customFormat="1" ht="15" customHeight="1" x14ac:dyDescent="0.25">
      <c r="B18" s="70">
        <v>212600</v>
      </c>
      <c r="C18" s="72"/>
      <c r="D18" s="71" t="s">
        <v>19</v>
      </c>
      <c r="E18" s="72"/>
      <c r="F18" s="71"/>
      <c r="G18" s="72"/>
      <c r="H18" s="73"/>
      <c r="J18" s="76"/>
      <c r="L18" s="81"/>
      <c r="M18" s="794"/>
      <c r="N18" s="81"/>
      <c r="P18" s="76"/>
      <c r="Q18" s="77"/>
      <c r="R18" s="78"/>
      <c r="S18" s="79"/>
      <c r="T18" s="79"/>
      <c r="U18" s="79"/>
      <c r="W18" s="65"/>
      <c r="X18" s="65"/>
      <c r="Y18" s="65"/>
      <c r="Z18" s="65"/>
      <c r="AA18" s="80"/>
      <c r="AB18" s="65"/>
    </row>
    <row r="19" spans="2:28" s="57" customFormat="1" ht="15" customHeight="1" x14ac:dyDescent="0.25">
      <c r="B19" s="70">
        <v>212600</v>
      </c>
      <c r="C19" s="72"/>
      <c r="D19" s="71" t="s">
        <v>19</v>
      </c>
      <c r="E19" s="72"/>
      <c r="F19" s="71"/>
      <c r="G19" s="72"/>
      <c r="H19" s="73"/>
      <c r="J19" s="76"/>
      <c r="L19" s="81"/>
      <c r="M19" s="794"/>
      <c r="N19" s="81"/>
      <c r="P19" s="76"/>
      <c r="Q19" s="77"/>
      <c r="R19" s="78"/>
      <c r="S19" s="79"/>
      <c r="T19" s="79"/>
      <c r="U19" s="79"/>
      <c r="W19" s="65"/>
      <c r="X19" s="65"/>
      <c r="Y19" s="65"/>
      <c r="Z19" s="65"/>
      <c r="AA19" s="80"/>
      <c r="AB19" s="65"/>
    </row>
    <row r="20" spans="2:28" s="57" customFormat="1" ht="15" customHeight="1" x14ac:dyDescent="0.25">
      <c r="B20" s="70">
        <v>212600</v>
      </c>
      <c r="C20" s="72"/>
      <c r="D20" s="71" t="s">
        <v>19</v>
      </c>
      <c r="E20" s="72"/>
      <c r="F20" s="71"/>
      <c r="G20" s="72"/>
      <c r="H20" s="73"/>
      <c r="J20" s="76"/>
      <c r="L20" s="81"/>
      <c r="M20" s="794"/>
      <c r="N20" s="81"/>
      <c r="P20" s="76"/>
      <c r="Q20" s="77"/>
      <c r="R20" s="78"/>
      <c r="S20" s="79"/>
      <c r="T20" s="79"/>
      <c r="U20" s="79"/>
      <c r="W20" s="65"/>
      <c r="X20" s="65"/>
      <c r="Y20" s="65"/>
      <c r="Z20" s="65"/>
      <c r="AA20" s="80"/>
      <c r="AB20" s="65"/>
    </row>
    <row r="21" spans="2:28" s="57" customFormat="1" ht="15" customHeight="1" x14ac:dyDescent="0.25">
      <c r="B21" s="70">
        <v>212600</v>
      </c>
      <c r="C21" s="72"/>
      <c r="D21" s="71" t="s">
        <v>19</v>
      </c>
      <c r="E21" s="72"/>
      <c r="F21" s="71"/>
      <c r="G21" s="72"/>
      <c r="H21" s="73"/>
      <c r="J21" s="76"/>
      <c r="L21" s="81"/>
      <c r="M21" s="794"/>
      <c r="N21" s="81"/>
      <c r="P21" s="76"/>
      <c r="Q21" s="77"/>
      <c r="R21" s="78"/>
      <c r="S21" s="79"/>
      <c r="T21" s="79"/>
      <c r="U21" s="79"/>
      <c r="W21" s="65"/>
      <c r="X21" s="65"/>
      <c r="Y21" s="65"/>
      <c r="Z21" s="65"/>
      <c r="AA21" s="80"/>
      <c r="AB21" s="65"/>
    </row>
    <row r="22" spans="2:28" s="57" customFormat="1" ht="15" customHeight="1" x14ac:dyDescent="0.25">
      <c r="B22" s="70">
        <v>212600</v>
      </c>
      <c r="C22" s="72"/>
      <c r="D22" s="71" t="s">
        <v>19</v>
      </c>
      <c r="E22" s="72"/>
      <c r="F22" s="71"/>
      <c r="G22" s="72"/>
      <c r="H22" s="73"/>
      <c r="J22" s="76"/>
      <c r="L22" s="81"/>
      <c r="M22" s="794"/>
      <c r="N22" s="81"/>
      <c r="P22" s="76"/>
      <c r="Q22" s="77"/>
      <c r="R22" s="78"/>
      <c r="S22" s="79"/>
      <c r="T22" s="79"/>
      <c r="U22" s="79"/>
      <c r="W22" s="65"/>
      <c r="X22" s="65"/>
      <c r="Y22" s="65"/>
      <c r="Z22" s="65"/>
      <c r="AA22" s="80"/>
      <c r="AB22" s="65"/>
    </row>
    <row r="23" spans="2:28" s="57" customFormat="1" ht="15" customHeight="1" x14ac:dyDescent="0.25">
      <c r="B23" s="70">
        <v>212600</v>
      </c>
      <c r="C23" s="72"/>
      <c r="D23" s="71" t="s">
        <v>19</v>
      </c>
      <c r="E23" s="72"/>
      <c r="F23" s="71"/>
      <c r="G23" s="72"/>
      <c r="H23" s="73"/>
      <c r="J23" s="76"/>
      <c r="L23" s="81"/>
      <c r="M23" s="794"/>
      <c r="N23" s="81"/>
      <c r="P23" s="76"/>
      <c r="Q23" s="77"/>
      <c r="R23" s="78"/>
      <c r="S23" s="79"/>
      <c r="T23" s="79"/>
      <c r="U23" s="79"/>
      <c r="W23" s="65"/>
      <c r="X23" s="65"/>
      <c r="Y23" s="65"/>
      <c r="Z23" s="65"/>
      <c r="AA23" s="80"/>
      <c r="AB23" s="65"/>
    </row>
    <row r="24" spans="2:28" s="57" customFormat="1" ht="15" customHeight="1" x14ac:dyDescent="0.25">
      <c r="B24" s="70">
        <v>212600</v>
      </c>
      <c r="C24" s="72"/>
      <c r="D24" s="71" t="s">
        <v>19</v>
      </c>
      <c r="E24" s="72"/>
      <c r="F24" s="71"/>
      <c r="G24" s="72"/>
      <c r="H24" s="73"/>
      <c r="J24" s="76"/>
      <c r="L24" s="81"/>
      <c r="M24" s="794"/>
      <c r="N24" s="81"/>
      <c r="P24" s="76"/>
      <c r="Q24" s="77"/>
      <c r="R24" s="78"/>
      <c r="S24" s="79"/>
      <c r="T24" s="79"/>
      <c r="U24" s="79"/>
      <c r="W24" s="65"/>
      <c r="X24" s="65"/>
      <c r="Y24" s="65"/>
      <c r="Z24" s="65"/>
      <c r="AA24" s="80"/>
      <c r="AB24" s="65"/>
    </row>
    <row r="25" spans="2:28" s="57" customFormat="1" ht="15" customHeight="1" x14ac:dyDescent="0.25">
      <c r="B25" s="70">
        <v>212600</v>
      </c>
      <c r="C25" s="72"/>
      <c r="D25" s="71" t="s">
        <v>19</v>
      </c>
      <c r="E25" s="72"/>
      <c r="F25" s="71"/>
      <c r="G25" s="72"/>
      <c r="H25" s="73"/>
      <c r="J25" s="76"/>
      <c r="L25" s="81"/>
      <c r="M25" s="794"/>
      <c r="N25" s="81"/>
      <c r="P25" s="76"/>
      <c r="Q25" s="77"/>
      <c r="R25" s="78"/>
      <c r="S25" s="79"/>
      <c r="T25" s="79"/>
      <c r="U25" s="79"/>
      <c r="W25" s="65"/>
      <c r="X25" s="65"/>
      <c r="Y25" s="65"/>
      <c r="Z25" s="65"/>
      <c r="AA25" s="80"/>
      <c r="AB25" s="65"/>
    </row>
    <row r="26" spans="2:28" s="57" customFormat="1" ht="15" customHeight="1" x14ac:dyDescent="0.25">
      <c r="B26" s="70">
        <v>212600</v>
      </c>
      <c r="C26" s="72"/>
      <c r="D26" s="71" t="s">
        <v>19</v>
      </c>
      <c r="E26" s="72"/>
      <c r="F26" s="71"/>
      <c r="G26" s="72"/>
      <c r="H26" s="73"/>
      <c r="J26" s="76"/>
      <c r="L26" s="81"/>
      <c r="M26" s="794"/>
      <c r="N26" s="81"/>
      <c r="P26" s="76"/>
      <c r="Q26" s="77"/>
      <c r="R26" s="78"/>
      <c r="S26" s="79"/>
      <c r="T26" s="79"/>
      <c r="U26" s="79"/>
      <c r="W26" s="65"/>
      <c r="X26" s="65"/>
      <c r="Y26" s="65"/>
      <c r="Z26" s="65"/>
      <c r="AA26" s="80"/>
      <c r="AB26" s="65"/>
    </row>
    <row r="27" spans="2:28" s="57" customFormat="1" ht="15" customHeight="1" x14ac:dyDescent="0.25">
      <c r="B27" s="70">
        <v>212600</v>
      </c>
      <c r="C27" s="72"/>
      <c r="D27" s="71" t="s">
        <v>19</v>
      </c>
      <c r="E27" s="72"/>
      <c r="F27" s="71"/>
      <c r="G27" s="72"/>
      <c r="H27" s="73"/>
      <c r="J27" s="76"/>
      <c r="L27" s="81"/>
      <c r="M27" s="794"/>
      <c r="N27" s="81"/>
      <c r="P27" s="76"/>
      <c r="Q27" s="77"/>
      <c r="R27" s="78"/>
      <c r="S27" s="79"/>
      <c r="T27" s="79"/>
      <c r="U27" s="79"/>
      <c r="W27" s="65"/>
      <c r="X27" s="65"/>
      <c r="Y27" s="65"/>
      <c r="Z27" s="65"/>
      <c r="AA27" s="80"/>
      <c r="AB27" s="65"/>
    </row>
    <row r="28" spans="2:28" s="57" customFormat="1" ht="15" customHeight="1" x14ac:dyDescent="0.25">
      <c r="B28" s="70">
        <v>212600</v>
      </c>
      <c r="C28" s="72"/>
      <c r="D28" s="71" t="s">
        <v>19</v>
      </c>
      <c r="E28" s="72"/>
      <c r="F28" s="71"/>
      <c r="G28" s="72"/>
      <c r="H28" s="73"/>
      <c r="J28" s="76"/>
      <c r="L28" s="81"/>
      <c r="M28" s="794"/>
      <c r="N28" s="81"/>
      <c r="P28" s="76"/>
      <c r="Q28" s="77"/>
      <c r="R28" s="78"/>
      <c r="S28" s="79"/>
      <c r="T28" s="79"/>
      <c r="U28" s="79"/>
      <c r="W28" s="65"/>
      <c r="X28" s="65"/>
      <c r="Y28" s="65"/>
      <c r="Z28" s="65"/>
      <c r="AA28" s="80"/>
      <c r="AB28" s="65"/>
    </row>
    <row r="29" spans="2:28" s="57" customFormat="1" ht="15" customHeight="1" x14ac:dyDescent="0.25">
      <c r="B29" s="70">
        <v>212600</v>
      </c>
      <c r="C29" s="72"/>
      <c r="D29" s="71" t="s">
        <v>19</v>
      </c>
      <c r="E29" s="72"/>
      <c r="F29" s="71"/>
      <c r="G29" s="72"/>
      <c r="H29" s="73"/>
      <c r="J29" s="76"/>
      <c r="L29" s="81"/>
      <c r="M29" s="794"/>
      <c r="N29" s="81"/>
      <c r="P29" s="76"/>
      <c r="Q29" s="77"/>
      <c r="R29" s="78"/>
      <c r="S29" s="79"/>
      <c r="T29" s="79"/>
      <c r="U29" s="79"/>
      <c r="W29" s="65"/>
      <c r="X29" s="65"/>
      <c r="Y29" s="65"/>
      <c r="Z29" s="65"/>
      <c r="AA29" s="80"/>
      <c r="AB29" s="65"/>
    </row>
    <row r="30" spans="2:28" s="57" customFormat="1" ht="15" customHeight="1" x14ac:dyDescent="0.25">
      <c r="B30" s="70">
        <v>212600</v>
      </c>
      <c r="C30" s="72"/>
      <c r="D30" s="71" t="s">
        <v>19</v>
      </c>
      <c r="E30" s="72"/>
      <c r="F30" s="71"/>
      <c r="G30" s="72"/>
      <c r="H30" s="73"/>
      <c r="J30" s="76"/>
      <c r="L30" s="81"/>
      <c r="M30" s="794"/>
      <c r="N30" s="81"/>
      <c r="P30" s="76"/>
      <c r="Q30" s="77"/>
      <c r="R30" s="78"/>
      <c r="S30" s="79"/>
      <c r="T30" s="79"/>
      <c r="U30" s="79"/>
      <c r="W30" s="65"/>
      <c r="X30" s="65"/>
      <c r="Y30" s="65"/>
      <c r="Z30" s="65"/>
      <c r="AA30" s="80"/>
      <c r="AB30" s="65"/>
    </row>
    <row r="31" spans="2:28" s="57" customFormat="1" ht="15" customHeight="1" x14ac:dyDescent="0.25">
      <c r="B31" s="70">
        <v>212600</v>
      </c>
      <c r="C31" s="72"/>
      <c r="D31" s="71" t="s">
        <v>19</v>
      </c>
      <c r="E31" s="72"/>
      <c r="F31" s="71"/>
      <c r="G31" s="72"/>
      <c r="H31" s="73"/>
      <c r="J31" s="76"/>
      <c r="L31" s="81"/>
      <c r="M31" s="794"/>
      <c r="N31" s="81"/>
      <c r="P31" s="76"/>
      <c r="Q31" s="77"/>
      <c r="R31" s="78"/>
      <c r="S31" s="79"/>
      <c r="T31" s="79"/>
      <c r="U31" s="79"/>
      <c r="W31" s="65"/>
      <c r="X31" s="65"/>
      <c r="Y31" s="65"/>
      <c r="Z31" s="65"/>
      <c r="AA31" s="80"/>
      <c r="AB31" s="65"/>
    </row>
    <row r="32" spans="2:28" s="57" customFormat="1" ht="15" customHeight="1" thickBot="1" x14ac:dyDescent="0.3">
      <c r="E32" s="63"/>
      <c r="F32" s="63" t="s">
        <v>80</v>
      </c>
      <c r="G32" s="63"/>
      <c r="H32" s="82">
        <f>SUM(H14:H31)</f>
        <v>0</v>
      </c>
      <c r="J32" s="344" t="s">
        <v>713</v>
      </c>
    </row>
    <row r="33" spans="1:17" s="57" customFormat="1" ht="12.75" customHeight="1" x14ac:dyDescent="0.25">
      <c r="E33" s="63"/>
      <c r="F33" s="63"/>
      <c r="G33" s="63"/>
      <c r="J33" s="345" t="str">
        <f ca="1">IF(H32=ACFR_Stmts!F48," ","Problem: Total must agree to Due to St of NC Comp units per ACFR_Stmts")</f>
        <v xml:space="preserve"> </v>
      </c>
      <c r="K33" s="343"/>
      <c r="L33" s="343"/>
      <c r="M33" s="343"/>
      <c r="N33" s="343"/>
      <c r="O33" s="348"/>
      <c r="P33" s="343"/>
    </row>
    <row r="34" spans="1:17" s="57" customFormat="1" ht="15" customHeight="1" x14ac:dyDescent="0.25">
      <c r="B34" s="83" t="s">
        <v>81</v>
      </c>
      <c r="E34" s="63"/>
      <c r="F34" s="63"/>
      <c r="G34" s="63"/>
      <c r="O34" s="63"/>
    </row>
    <row r="35" spans="1:17" s="57" customFormat="1" ht="15" customHeight="1" x14ac:dyDescent="0.25">
      <c r="E35" s="63"/>
      <c r="F35" s="63"/>
      <c r="G35" s="63"/>
      <c r="O35" s="63"/>
    </row>
    <row r="36" spans="1:17" s="57" customFormat="1" ht="15" customHeight="1" x14ac:dyDescent="0.25">
      <c r="E36" s="63"/>
      <c r="F36" s="63"/>
      <c r="G36" s="63"/>
      <c r="O36" s="63"/>
    </row>
    <row r="37" spans="1:17" s="57" customFormat="1" ht="15" customHeight="1" x14ac:dyDescent="0.25">
      <c r="E37" s="63"/>
      <c r="F37" s="63"/>
      <c r="G37" s="63"/>
      <c r="O37" s="63"/>
    </row>
    <row r="38" spans="1:17" s="57" customFormat="1" ht="15" customHeight="1" x14ac:dyDescent="0.25">
      <c r="A38" s="20" t="str">
        <f ca="1">MID(CELL("filename",A3),FIND("]",CELL("filename",A3))+1,256)</f>
        <v>530</v>
      </c>
      <c r="B38" s="20"/>
      <c r="E38" s="63"/>
      <c r="F38" s="63"/>
      <c r="G38" s="63"/>
      <c r="O38" s="63"/>
    </row>
    <row r="39" spans="1:17" s="57" customFormat="1" ht="15" customHeight="1" x14ac:dyDescent="0.25">
      <c r="A39" s="20" t="s">
        <v>9</v>
      </c>
      <c r="B39" s="20"/>
      <c r="E39" s="63"/>
      <c r="F39" s="63"/>
      <c r="G39" s="63"/>
      <c r="O39" s="63"/>
    </row>
    <row r="40" spans="1:17" s="57" customFormat="1" ht="15" customHeight="1" x14ac:dyDescent="0.25">
      <c r="A40" s="20" t="s">
        <v>10</v>
      </c>
      <c r="B40" s="20"/>
      <c r="E40" s="63"/>
      <c r="F40" s="63"/>
      <c r="G40" s="63"/>
      <c r="O40" s="63"/>
    </row>
    <row r="41" spans="1:17" s="57" customFormat="1" ht="15" customHeight="1" x14ac:dyDescent="0.25">
      <c r="A41" s="20" t="s">
        <v>11</v>
      </c>
      <c r="B41" s="20"/>
      <c r="E41" s="63"/>
      <c r="F41" s="63"/>
      <c r="G41" s="63"/>
      <c r="O41" s="63"/>
    </row>
    <row r="42" spans="1:17" s="57" customFormat="1" ht="15" customHeight="1" x14ac:dyDescent="0.25">
      <c r="A42" s="20" t="s">
        <v>12</v>
      </c>
      <c r="B42" s="20"/>
      <c r="E42" s="63"/>
      <c r="F42" s="63"/>
      <c r="G42" s="63"/>
      <c r="O42" s="63"/>
    </row>
    <row r="43" spans="1:17" s="57" customFormat="1" ht="15" customHeight="1" x14ac:dyDescent="0.25">
      <c r="A43" s="20" t="s">
        <v>13</v>
      </c>
      <c r="B43" s="20"/>
      <c r="E43" s="63"/>
      <c r="F43" s="63"/>
      <c r="G43" s="63"/>
      <c r="O43" s="63"/>
    </row>
    <row r="44" spans="1:17" ht="20.85" customHeight="1" x14ac:dyDescent="0.3">
      <c r="A44" s="20" t="s">
        <v>14</v>
      </c>
      <c r="B44" s="20"/>
      <c r="D44" s="86" t="s">
        <v>19</v>
      </c>
      <c r="E44" s="86"/>
      <c r="F44" s="86"/>
      <c r="G44" s="86"/>
      <c r="H44" s="86"/>
      <c r="I44" s="86"/>
      <c r="J44" s="86"/>
      <c r="K44" s="86"/>
    </row>
    <row r="45" spans="1:17" ht="20.85" customHeight="1" x14ac:dyDescent="0.3">
      <c r="A45" s="20" t="s">
        <v>15</v>
      </c>
      <c r="B45" s="20"/>
      <c r="D45" s="86" t="s">
        <v>19</v>
      </c>
      <c r="E45" s="86"/>
      <c r="F45" s="86"/>
      <c r="G45" s="86"/>
      <c r="L45" s="87" t="s">
        <v>19</v>
      </c>
      <c r="M45" s="87"/>
      <c r="N45" s="87"/>
      <c r="O45" s="87"/>
      <c r="Q45" s="86" t="s">
        <v>19</v>
      </c>
    </row>
    <row r="46" spans="1:17" ht="20.85" customHeight="1" x14ac:dyDescent="0.3">
      <c r="A46" s="20" t="s">
        <v>16</v>
      </c>
      <c r="B46" s="20"/>
    </row>
    <row r="47" spans="1:17" ht="20.85" customHeight="1" x14ac:dyDescent="0.3">
      <c r="A47" s="20" t="s">
        <v>17</v>
      </c>
      <c r="B47" s="20"/>
    </row>
    <row r="48" spans="1:17" ht="20.85" customHeight="1" x14ac:dyDescent="0.3">
      <c r="A48" s="20" t="s">
        <v>18</v>
      </c>
      <c r="B48" s="20"/>
    </row>
    <row r="49" spans="4:17" ht="20.85" customHeight="1" x14ac:dyDescent="0.3"/>
    <row r="50" spans="4:17" ht="20.85" customHeight="1" x14ac:dyDescent="0.3"/>
    <row r="51" spans="4:17" ht="20.85" customHeight="1" x14ac:dyDescent="0.3"/>
    <row r="52" spans="4:17" ht="20.85" customHeight="1" x14ac:dyDescent="0.3">
      <c r="D52" s="84" t="s">
        <v>19</v>
      </c>
    </row>
    <row r="53" spans="4:17" ht="20.85" customHeight="1" x14ac:dyDescent="0.3"/>
    <row r="54" spans="4:17" ht="20.85" customHeight="1" x14ac:dyDescent="0.3"/>
    <row r="55" spans="4:17" ht="20.85" customHeight="1" x14ac:dyDescent="0.3">
      <c r="D55" s="86" t="s">
        <v>19</v>
      </c>
      <c r="E55" s="86"/>
      <c r="F55" s="86"/>
      <c r="G55" s="86"/>
      <c r="L55" s="87" t="s">
        <v>19</v>
      </c>
      <c r="M55" s="87"/>
      <c r="N55" s="87"/>
      <c r="O55" s="87"/>
      <c r="Q55" s="86" t="s">
        <v>19</v>
      </c>
    </row>
  </sheetData>
  <sheetProtection algorithmName="SHA-512" hashValue="+1+B22AjfJ5PTkDxkSBy9v3WJjN4cDXYUMrkmJ1QxFiAZ3lkUC5C11P9RBzvJRvTkgkpBsqg7JldXX23ocwRlA==" saltValue="CXPl/sSVqwgPyoYdtpVGVA==" spinCount="100000" sheet="1" objects="1" scenarios="1" autoFilter="0"/>
  <dataConsolidate/>
  <mergeCells count="12">
    <mergeCell ref="J11:N11"/>
    <mergeCell ref="O9:Q9"/>
    <mergeCell ref="O8:Q8"/>
    <mergeCell ref="D8:G8"/>
    <mergeCell ref="B1:P1"/>
    <mergeCell ref="B2:P2"/>
    <mergeCell ref="B3:P3"/>
    <mergeCell ref="B4:P4"/>
    <mergeCell ref="D6:G6"/>
    <mergeCell ref="D7:H7"/>
    <mergeCell ref="O6:Q6"/>
    <mergeCell ref="O7:Q7"/>
  </mergeCells>
  <phoneticPr fontId="12" type="noConversion"/>
  <conditionalFormatting sqref="Q1:Q3">
    <cfRule type="cellIs" dxfId="13" priority="1" stopIfTrue="1" operator="equal">
      <formula>"na"</formula>
    </cfRule>
  </conditionalFormatting>
  <dataValidations count="2">
    <dataValidation type="textLength" operator="equal" allowBlank="1" showInputMessage="1" showErrorMessage="1" errorTitle="Invalid data!" error="GASB number must be 4 digits." sqref="F14:F31" xr:uid="{00000000-0002-0000-1200-000000000000}">
      <formula1>4</formula1>
    </dataValidation>
    <dataValidation type="list" allowBlank="1" showInputMessage="1" showErrorMessage="1" sqref="D14:D31" xr:uid="{00000000-0002-0000-1200-000001000000}">
      <formula1>Listfor525and530</formula1>
    </dataValidation>
  </dataValidations>
  <hyperlinks>
    <hyperlink ref="B1:P1" location="Index!A1" display="Index!A1" xr:uid="{00000000-0004-0000-1200-000000000000}"/>
  </hyperlinks>
  <pageMargins left="0.95" right="0.45" top="0.5" bottom="0.5" header="0.3" footer="0.3"/>
  <pageSetup scale="86" orientation="landscape" r:id="rId1"/>
  <headerFooter>
    <oddFooter>&amp;R&amp;A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13">
    <pageSetUpPr fitToPage="1"/>
  </sheetPr>
  <dimension ref="A1:W58"/>
  <sheetViews>
    <sheetView showGridLines="0" zoomScaleNormal="100" workbookViewId="0">
      <selection activeCell="Z13" sqref="Z13"/>
    </sheetView>
  </sheetViews>
  <sheetFormatPr defaultColWidth="9.109375" defaultRowHeight="15.6" x14ac:dyDescent="0.3"/>
  <cols>
    <col min="1" max="1" width="0.109375" style="84" customWidth="1"/>
    <col min="2" max="2" width="13.5546875" style="84" customWidth="1"/>
    <col min="3" max="3" width="1.5546875" style="84" customWidth="1"/>
    <col min="4" max="4" width="7.5546875" style="84" bestFit="1" customWidth="1"/>
    <col min="5" max="5" width="1.5546875" style="84" customWidth="1"/>
    <col min="6" max="6" width="8.5546875" style="84" customWidth="1"/>
    <col min="7" max="7" width="1.5546875" style="84" customWidth="1"/>
    <col min="8" max="8" width="14.44140625" style="84" customWidth="1"/>
    <col min="9" max="9" width="1.5546875" style="84" customWidth="1"/>
    <col min="10" max="10" width="15.44140625" style="84" customWidth="1"/>
    <col min="11" max="11" width="0.88671875" style="84" customWidth="1"/>
    <col min="12" max="12" width="13.44140625" style="84" customWidth="1"/>
    <col min="13" max="13" width="1.6640625" style="84" customWidth="1"/>
    <col min="14" max="14" width="13.44140625" style="84" customWidth="1"/>
    <col min="15" max="15" width="1.44140625" style="84" customWidth="1"/>
    <col min="16" max="16" width="36.44140625" style="84" customWidth="1"/>
    <col min="17" max="17" width="4.5546875" style="84" customWidth="1"/>
    <col min="18" max="18" width="5.88671875" style="84" hidden="1" customWidth="1"/>
    <col min="19" max="19" width="2" style="84" hidden="1" customWidth="1"/>
    <col min="20" max="23" width="5.88671875" style="84" hidden="1" customWidth="1"/>
    <col min="24" max="16384" width="9.109375" style="84"/>
  </cols>
  <sheetData>
    <row r="1" spans="2:23" s="54" customFormat="1" ht="25.2" customHeight="1" x14ac:dyDescent="0.3">
      <c r="B1" s="854" t="str">
        <f>+Index!$A$1</f>
        <v>Office of the State Controller</v>
      </c>
      <c r="C1" s="854"/>
      <c r="D1" s="854"/>
      <c r="E1" s="854"/>
      <c r="F1" s="854"/>
      <c r="G1" s="854"/>
      <c r="H1" s="854"/>
      <c r="I1" s="854"/>
      <c r="J1" s="854"/>
      <c r="K1" s="854"/>
      <c r="L1" s="854"/>
      <c r="M1" s="854"/>
      <c r="N1" s="854"/>
      <c r="O1" s="854"/>
      <c r="P1" s="854"/>
      <c r="Q1" s="803" t="str">
        <f>IF(Index!$B$61="na","NA","")</f>
        <v/>
      </c>
    </row>
    <row r="2" spans="2:23" s="54" customFormat="1" ht="15" customHeight="1" x14ac:dyDescent="0.3">
      <c r="B2" s="1033" t="str">
        <f>+Index!$A$2</f>
        <v>2022 ACFR Worksheets for Nonmajor Component Units</v>
      </c>
      <c r="C2" s="1033"/>
      <c r="D2" s="1033"/>
      <c r="E2" s="1033"/>
      <c r="F2" s="1033"/>
      <c r="G2" s="1033"/>
      <c r="H2" s="1033"/>
      <c r="I2" s="1033"/>
      <c r="J2" s="1033"/>
      <c r="K2" s="1033"/>
      <c r="L2" s="1033"/>
      <c r="M2" s="1033"/>
      <c r="N2" s="1033"/>
      <c r="O2" s="1033"/>
      <c r="P2" s="1033"/>
      <c r="Q2" s="803"/>
    </row>
    <row r="3" spans="2:23" s="54" customFormat="1" ht="15" customHeight="1" x14ac:dyDescent="0.3">
      <c r="B3" s="1033" t="s">
        <v>639</v>
      </c>
      <c r="C3" s="1033"/>
      <c r="D3" s="1033"/>
      <c r="E3" s="1033"/>
      <c r="F3" s="1033"/>
      <c r="G3" s="1033"/>
      <c r="H3" s="1033"/>
      <c r="I3" s="1033"/>
      <c r="J3" s="1033"/>
      <c r="K3" s="1033"/>
      <c r="L3" s="1033"/>
      <c r="M3" s="1033"/>
      <c r="N3" s="1033"/>
      <c r="O3" s="1033"/>
      <c r="P3" s="1033"/>
      <c r="Q3" s="803"/>
    </row>
    <row r="4" spans="2:23" s="57" customFormat="1" ht="15" customHeight="1" x14ac:dyDescent="0.25">
      <c r="B4" s="55"/>
      <c r="C4" s="56"/>
      <c r="D4" s="56"/>
      <c r="E4" s="56"/>
      <c r="F4" s="56"/>
      <c r="G4" s="56"/>
      <c r="H4" s="56"/>
      <c r="I4" s="56"/>
      <c r="J4" s="56"/>
      <c r="K4" s="55"/>
      <c r="L4" s="1037"/>
      <c r="M4" s="1037"/>
      <c r="N4" s="1037"/>
      <c r="O4" s="1037"/>
      <c r="P4" s="1037"/>
    </row>
    <row r="5" spans="2:23" s="57" customFormat="1" ht="15" customHeight="1" x14ac:dyDescent="0.25">
      <c r="B5" s="59"/>
      <c r="D5" s="1031"/>
      <c r="E5" s="1031"/>
      <c r="F5" s="1031"/>
      <c r="G5" s="1031"/>
      <c r="H5" s="60"/>
      <c r="L5" s="39" t="s">
        <v>357</v>
      </c>
      <c r="M5" s="39"/>
      <c r="N5" s="39"/>
      <c r="O5" s="908" t="str">
        <f>Index!$D$10</f>
        <v>0A</v>
      </c>
      <c r="P5" s="908"/>
      <c r="Q5" s="908"/>
      <c r="R5" s="908"/>
    </row>
    <row r="6" spans="2:23" s="57" customFormat="1" ht="15" customHeight="1" x14ac:dyDescent="0.25">
      <c r="B6" s="59"/>
      <c r="D6" s="1031"/>
      <c r="E6" s="1031"/>
      <c r="F6" s="1031"/>
      <c r="G6" s="1031"/>
      <c r="H6" s="1031"/>
      <c r="L6" s="39" t="s">
        <v>358</v>
      </c>
      <c r="M6" s="39"/>
      <c r="N6" s="39"/>
      <c r="O6" s="908" t="str">
        <f>Index!$D$11</f>
        <v>NC Housing Finance Agency</v>
      </c>
      <c r="P6" s="908"/>
      <c r="Q6" s="908"/>
      <c r="R6" s="908"/>
    </row>
    <row r="7" spans="2:23" s="57" customFormat="1" ht="15" customHeight="1" x14ac:dyDescent="0.25">
      <c r="B7" s="59" t="s">
        <v>72</v>
      </c>
      <c r="D7" s="1032">
        <f>+Index!D13</f>
        <v>2611</v>
      </c>
      <c r="E7" s="1032"/>
      <c r="F7" s="1032"/>
      <c r="G7" s="1032"/>
      <c r="L7" s="39" t="s">
        <v>359</v>
      </c>
      <c r="M7" s="39"/>
      <c r="N7" s="39"/>
      <c r="O7" s="899" t="str">
        <f>CONCATENATE(Index!$D$14,"  ",Index!$D$16)</f>
        <v xml:space="preserve">  </v>
      </c>
      <c r="P7" s="899"/>
      <c r="Q7" s="899"/>
      <c r="R7" s="899"/>
    </row>
    <row r="8" spans="2:23" s="57" customFormat="1" ht="15" customHeight="1" x14ac:dyDescent="0.25">
      <c r="B8" s="59"/>
      <c r="D8" s="232"/>
      <c r="E8" s="232"/>
      <c r="F8" s="232"/>
      <c r="G8" s="232"/>
      <c r="L8" s="237" t="s">
        <v>196</v>
      </c>
      <c r="M8" s="237"/>
      <c r="N8" s="237"/>
      <c r="O8" s="899">
        <f>+Index!$D$15</f>
        <v>0</v>
      </c>
      <c r="P8" s="899"/>
      <c r="Q8" s="899"/>
      <c r="R8" s="899"/>
    </row>
    <row r="9" spans="2:23" s="57" customFormat="1" ht="15" customHeight="1" thickBot="1" x14ac:dyDescent="0.3">
      <c r="B9" s="61"/>
      <c r="C9" s="61"/>
      <c r="D9" s="61"/>
      <c r="E9" s="61"/>
      <c r="F9" s="61"/>
      <c r="G9" s="61"/>
      <c r="H9" s="61"/>
      <c r="I9" s="61"/>
      <c r="J9" s="61"/>
      <c r="K9" s="62"/>
      <c r="L9" s="61"/>
      <c r="M9" s="61"/>
      <c r="N9" s="61"/>
      <c r="O9" s="61"/>
      <c r="P9" s="61"/>
      <c r="Q9" s="236"/>
    </row>
    <row r="10" spans="2:23" s="57" customFormat="1" ht="6.9" customHeight="1" x14ac:dyDescent="0.25">
      <c r="K10" s="88"/>
    </row>
    <row r="11" spans="2:23" s="57" customFormat="1" ht="15" customHeight="1" x14ac:dyDescent="0.25">
      <c r="B11" s="1036" t="s">
        <v>636</v>
      </c>
      <c r="C11" s="1036"/>
      <c r="D11" s="1036"/>
      <c r="E11" s="1036"/>
      <c r="F11" s="1036"/>
      <c r="G11" s="1036"/>
      <c r="H11" s="1036"/>
      <c r="K11" s="88"/>
    </row>
    <row r="12" spans="2:23" s="57" customFormat="1" ht="15" customHeight="1" thickBot="1" x14ac:dyDescent="0.3">
      <c r="B12" s="63"/>
      <c r="D12" s="64" t="s">
        <v>73</v>
      </c>
      <c r="E12" s="65"/>
      <c r="F12" s="64" t="s">
        <v>73</v>
      </c>
      <c r="I12" s="55"/>
      <c r="J12" s="1035" t="s">
        <v>74</v>
      </c>
      <c r="K12" s="1035"/>
      <c r="L12" s="1035"/>
      <c r="M12" s="1035"/>
      <c r="N12" s="1035"/>
      <c r="O12" s="66"/>
    </row>
    <row r="13" spans="2:23" s="57" customFormat="1" ht="15" customHeight="1" x14ac:dyDescent="0.25">
      <c r="B13" s="63"/>
      <c r="D13" s="64" t="s">
        <v>287</v>
      </c>
      <c r="E13" s="65"/>
      <c r="F13" s="64" t="s">
        <v>65</v>
      </c>
      <c r="I13" s="55"/>
      <c r="J13" s="65"/>
      <c r="K13" s="65"/>
      <c r="L13" s="795" t="s">
        <v>1422</v>
      </c>
      <c r="M13" s="64"/>
      <c r="N13" s="795" t="s">
        <v>1424</v>
      </c>
      <c r="O13" s="65"/>
    </row>
    <row r="14" spans="2:23" s="57" customFormat="1" ht="15" customHeight="1" thickBot="1" x14ac:dyDescent="0.3">
      <c r="B14" s="67" t="s">
        <v>76</v>
      </c>
      <c r="C14" s="63"/>
      <c r="D14" s="68" t="s">
        <v>286</v>
      </c>
      <c r="E14" s="65"/>
      <c r="F14" s="68" t="s">
        <v>286</v>
      </c>
      <c r="H14" s="67" t="s">
        <v>77</v>
      </c>
      <c r="J14" s="68" t="s">
        <v>78</v>
      </c>
      <c r="K14" s="69"/>
      <c r="L14" s="796" t="s">
        <v>1423</v>
      </c>
      <c r="M14" s="792"/>
      <c r="N14" s="796" t="s">
        <v>1425</v>
      </c>
      <c r="O14" s="69"/>
      <c r="P14" s="67" t="s">
        <v>88</v>
      </c>
      <c r="Q14" s="63" t="s">
        <v>19</v>
      </c>
    </row>
    <row r="15" spans="2:23" s="57" customFormat="1" ht="15" customHeight="1" x14ac:dyDescent="0.25">
      <c r="B15" s="71"/>
      <c r="D15" s="71" t="s">
        <v>19</v>
      </c>
      <c r="E15" s="72"/>
      <c r="F15" s="71"/>
      <c r="G15" s="63"/>
      <c r="H15" s="73">
        <v>0</v>
      </c>
      <c r="J15" s="74"/>
      <c r="K15" s="65"/>
      <c r="L15" s="75"/>
      <c r="M15" s="793"/>
      <c r="N15" s="75"/>
      <c r="P15" s="76"/>
      <c r="Q15" s="77"/>
      <c r="R15" s="78" t="b">
        <f t="shared" ref="R15:R21" si="0">IF(OR(S15=0,S15=4),TRUE, FALSE)</f>
        <v>0</v>
      </c>
      <c r="S15" s="78">
        <f t="shared" ref="S15:S21" si="1">COUNTIF(T15:W15,FALSE)</f>
        <v>2</v>
      </c>
      <c r="T15" s="79" t="b">
        <f t="shared" ref="T15:T21" si="2">ISBLANK(B15)</f>
        <v>1</v>
      </c>
      <c r="U15" s="79" t="b">
        <f t="shared" ref="U15:U21" si="3">ISBLANK(D15)</f>
        <v>0</v>
      </c>
      <c r="V15" s="79" t="b">
        <f t="shared" ref="V15:V21" si="4">ISBLANK(F15)</f>
        <v>1</v>
      </c>
      <c r="W15" s="79" t="b">
        <f t="shared" ref="W15:W21" si="5">ISBLANK(H15)</f>
        <v>0</v>
      </c>
    </row>
    <row r="16" spans="2:23" s="57" customFormat="1" ht="15" customHeight="1" x14ac:dyDescent="0.25">
      <c r="B16" s="71"/>
      <c r="D16" s="71" t="s">
        <v>19</v>
      </c>
      <c r="E16" s="72"/>
      <c r="F16" s="71"/>
      <c r="G16" s="63"/>
      <c r="H16" s="73"/>
      <c r="J16" s="74"/>
      <c r="K16" s="65"/>
      <c r="L16" s="75"/>
      <c r="M16" s="793"/>
      <c r="N16" s="75"/>
      <c r="P16" s="76"/>
      <c r="Q16" s="77"/>
      <c r="R16" s="78" t="b">
        <f t="shared" si="0"/>
        <v>0</v>
      </c>
      <c r="S16" s="78">
        <f t="shared" si="1"/>
        <v>1</v>
      </c>
      <c r="T16" s="79" t="b">
        <f t="shared" si="2"/>
        <v>1</v>
      </c>
      <c r="U16" s="79" t="b">
        <f t="shared" si="3"/>
        <v>0</v>
      </c>
      <c r="V16" s="79" t="b">
        <f t="shared" si="4"/>
        <v>1</v>
      </c>
      <c r="W16" s="79" t="b">
        <f t="shared" si="5"/>
        <v>1</v>
      </c>
    </row>
    <row r="17" spans="2:23" s="57" customFormat="1" ht="15" customHeight="1" x14ac:dyDescent="0.25">
      <c r="B17" s="71"/>
      <c r="D17" s="71" t="s">
        <v>19</v>
      </c>
      <c r="E17" s="72"/>
      <c r="F17" s="71"/>
      <c r="G17" s="63"/>
      <c r="H17" s="73"/>
      <c r="J17" s="74"/>
      <c r="K17" s="65"/>
      <c r="L17" s="75"/>
      <c r="M17" s="793"/>
      <c r="N17" s="75"/>
      <c r="P17" s="76"/>
      <c r="Q17" s="77"/>
      <c r="R17" s="78" t="b">
        <f t="shared" si="0"/>
        <v>0</v>
      </c>
      <c r="S17" s="78">
        <f t="shared" si="1"/>
        <v>1</v>
      </c>
      <c r="T17" s="79" t="b">
        <f t="shared" si="2"/>
        <v>1</v>
      </c>
      <c r="U17" s="79" t="b">
        <f t="shared" si="3"/>
        <v>0</v>
      </c>
      <c r="V17" s="79" t="b">
        <f t="shared" si="4"/>
        <v>1</v>
      </c>
      <c r="W17" s="79" t="b">
        <f t="shared" si="5"/>
        <v>1</v>
      </c>
    </row>
    <row r="18" spans="2:23" s="57" customFormat="1" ht="15" customHeight="1" x14ac:dyDescent="0.25">
      <c r="B18" s="71"/>
      <c r="D18" s="71" t="s">
        <v>19</v>
      </c>
      <c r="E18" s="72"/>
      <c r="F18" s="71"/>
      <c r="G18" s="63"/>
      <c r="H18" s="73"/>
      <c r="J18" s="74"/>
      <c r="K18" s="65"/>
      <c r="L18" s="75"/>
      <c r="M18" s="793"/>
      <c r="N18" s="75"/>
      <c r="P18" s="76"/>
      <c r="Q18" s="77"/>
      <c r="R18" s="78" t="b">
        <f t="shared" si="0"/>
        <v>0</v>
      </c>
      <c r="S18" s="78">
        <f t="shared" si="1"/>
        <v>1</v>
      </c>
      <c r="T18" s="79" t="b">
        <f t="shared" si="2"/>
        <v>1</v>
      </c>
      <c r="U18" s="79" t="b">
        <f t="shared" si="3"/>
        <v>0</v>
      </c>
      <c r="V18" s="79" t="b">
        <f t="shared" si="4"/>
        <v>1</v>
      </c>
      <c r="W18" s="79" t="b">
        <f t="shared" si="5"/>
        <v>1</v>
      </c>
    </row>
    <row r="19" spans="2:23" s="57" customFormat="1" ht="15" customHeight="1" x14ac:dyDescent="0.25">
      <c r="B19" s="71"/>
      <c r="D19" s="71" t="s">
        <v>19</v>
      </c>
      <c r="E19" s="72"/>
      <c r="F19" s="71"/>
      <c r="G19" s="63"/>
      <c r="H19" s="73"/>
      <c r="J19" s="74"/>
      <c r="K19" s="65"/>
      <c r="L19" s="75"/>
      <c r="M19" s="793"/>
      <c r="N19" s="75"/>
      <c r="P19" s="76"/>
      <c r="Q19" s="77"/>
      <c r="R19" s="78" t="b">
        <f t="shared" si="0"/>
        <v>0</v>
      </c>
      <c r="S19" s="78">
        <f t="shared" si="1"/>
        <v>1</v>
      </c>
      <c r="T19" s="79" t="b">
        <f t="shared" si="2"/>
        <v>1</v>
      </c>
      <c r="U19" s="79" t="b">
        <f t="shared" si="3"/>
        <v>0</v>
      </c>
      <c r="V19" s="79" t="b">
        <f t="shared" si="4"/>
        <v>1</v>
      </c>
      <c r="W19" s="79" t="b">
        <f t="shared" si="5"/>
        <v>1</v>
      </c>
    </row>
    <row r="20" spans="2:23" s="57" customFormat="1" ht="15" customHeight="1" x14ac:dyDescent="0.25">
      <c r="B20" s="71"/>
      <c r="D20" s="71" t="s">
        <v>19</v>
      </c>
      <c r="E20" s="72"/>
      <c r="F20" s="71"/>
      <c r="G20" s="63"/>
      <c r="H20" s="73"/>
      <c r="J20" s="74"/>
      <c r="K20" s="65"/>
      <c r="L20" s="75"/>
      <c r="M20" s="793"/>
      <c r="N20" s="75"/>
      <c r="P20" s="76"/>
      <c r="Q20" s="77"/>
      <c r="R20" s="78" t="b">
        <f t="shared" si="0"/>
        <v>0</v>
      </c>
      <c r="S20" s="78">
        <f t="shared" si="1"/>
        <v>1</v>
      </c>
      <c r="T20" s="79" t="b">
        <f t="shared" si="2"/>
        <v>1</v>
      </c>
      <c r="U20" s="79" t="b">
        <f t="shared" si="3"/>
        <v>0</v>
      </c>
      <c r="V20" s="79" t="b">
        <f t="shared" si="4"/>
        <v>1</v>
      </c>
      <c r="W20" s="79" t="b">
        <f t="shared" si="5"/>
        <v>1</v>
      </c>
    </row>
    <row r="21" spans="2:23" s="57" customFormat="1" ht="15" customHeight="1" x14ac:dyDescent="0.25">
      <c r="B21" s="71"/>
      <c r="D21" s="71" t="s">
        <v>19</v>
      </c>
      <c r="E21" s="72"/>
      <c r="F21" s="71"/>
      <c r="G21" s="63"/>
      <c r="H21" s="73"/>
      <c r="J21" s="74"/>
      <c r="K21" s="65"/>
      <c r="L21" s="75"/>
      <c r="M21" s="793"/>
      <c r="N21" s="75"/>
      <c r="P21" s="76"/>
      <c r="Q21" s="77"/>
      <c r="R21" s="78" t="b">
        <f t="shared" si="0"/>
        <v>0</v>
      </c>
      <c r="S21" s="78">
        <f t="shared" si="1"/>
        <v>1</v>
      </c>
      <c r="T21" s="79" t="b">
        <f t="shared" si="2"/>
        <v>1</v>
      </c>
      <c r="U21" s="79" t="b">
        <f t="shared" si="3"/>
        <v>0</v>
      </c>
      <c r="V21" s="79" t="b">
        <f t="shared" si="4"/>
        <v>1</v>
      </c>
      <c r="W21" s="79" t="b">
        <f t="shared" si="5"/>
        <v>1</v>
      </c>
    </row>
    <row r="22" spans="2:23" s="57" customFormat="1" ht="15" customHeight="1" thickBot="1" x14ac:dyDescent="0.3">
      <c r="E22" s="63"/>
      <c r="F22" s="63" t="s">
        <v>80</v>
      </c>
      <c r="G22" s="63"/>
      <c r="H22" s="82">
        <f>SUM(H15:H21)</f>
        <v>0</v>
      </c>
      <c r="J22" s="83" t="s">
        <v>713</v>
      </c>
      <c r="Q22" s="58"/>
      <c r="R22" s="78">
        <f>COUNTIF(R15:R21,FALSE)</f>
        <v>7</v>
      </c>
      <c r="S22" s="58"/>
      <c r="T22" s="58"/>
      <c r="U22" s="58"/>
      <c r="V22" s="58"/>
      <c r="W22" s="58"/>
    </row>
    <row r="23" spans="2:23" s="57" customFormat="1" ht="15" customHeight="1" x14ac:dyDescent="0.25">
      <c r="E23" s="63"/>
      <c r="F23" s="63"/>
      <c r="G23" s="63"/>
      <c r="H23" s="89"/>
      <c r="J23" s="345" t="str">
        <f ca="1">IF(H22=ACFR_Stmts!F52," ","Problem: Total must agree to Advance from Prim Gov per ACFR_Stmts")</f>
        <v xml:space="preserve"> </v>
      </c>
      <c r="K23" s="343"/>
      <c r="L23" s="343"/>
      <c r="M23" s="343"/>
      <c r="N23" s="343"/>
      <c r="O23" s="348"/>
      <c r="P23" s="343"/>
      <c r="Q23" s="58"/>
      <c r="R23" s="58"/>
      <c r="S23" s="58"/>
      <c r="T23" s="58"/>
      <c r="U23" s="58"/>
      <c r="V23" s="58"/>
      <c r="W23" s="58"/>
    </row>
    <row r="24" spans="2:23" s="57" customFormat="1" ht="15" customHeight="1" x14ac:dyDescent="0.25">
      <c r="B24" s="1034" t="s">
        <v>1226</v>
      </c>
      <c r="C24" s="1034"/>
      <c r="D24" s="1034"/>
      <c r="E24" s="1034"/>
      <c r="F24" s="1034"/>
      <c r="G24" s="1034"/>
      <c r="H24" s="1034"/>
      <c r="I24" s="1034"/>
      <c r="J24" s="1034"/>
      <c r="K24" s="1034"/>
      <c r="L24" s="1034"/>
      <c r="M24" s="790"/>
      <c r="N24" s="790"/>
      <c r="Q24" s="58"/>
      <c r="R24" s="58"/>
      <c r="S24" s="58"/>
      <c r="T24" s="58"/>
      <c r="U24" s="58"/>
      <c r="V24" s="58"/>
      <c r="W24" s="58"/>
    </row>
    <row r="25" spans="2:23" s="57" customFormat="1" ht="15" customHeight="1" thickBot="1" x14ac:dyDescent="0.3">
      <c r="B25" s="63"/>
      <c r="D25" s="64" t="s">
        <v>82</v>
      </c>
      <c r="E25" s="65"/>
      <c r="F25" s="64" t="s">
        <v>82</v>
      </c>
      <c r="I25" s="55"/>
      <c r="J25" s="1035" t="s">
        <v>83</v>
      </c>
      <c r="K25" s="1035"/>
      <c r="L25" s="1035"/>
      <c r="M25" s="1035"/>
      <c r="N25" s="1035"/>
      <c r="O25" s="66"/>
      <c r="Q25" s="58"/>
      <c r="R25" s="58"/>
      <c r="S25" s="58"/>
      <c r="T25" s="58"/>
      <c r="U25" s="58"/>
      <c r="V25" s="58"/>
      <c r="W25" s="58"/>
    </row>
    <row r="26" spans="2:23" s="57" customFormat="1" ht="15" customHeight="1" x14ac:dyDescent="0.25">
      <c r="B26" s="63"/>
      <c r="D26" s="64" t="s">
        <v>287</v>
      </c>
      <c r="E26" s="65"/>
      <c r="F26" s="64" t="s">
        <v>65</v>
      </c>
      <c r="I26" s="55"/>
      <c r="J26" s="65"/>
      <c r="K26" s="65"/>
      <c r="L26" s="795" t="s">
        <v>1422</v>
      </c>
      <c r="M26" s="64"/>
      <c r="N26" s="795" t="s">
        <v>1424</v>
      </c>
      <c r="O26" s="65"/>
      <c r="Q26" s="58"/>
      <c r="R26" s="58"/>
      <c r="S26" s="58"/>
      <c r="T26" s="58"/>
      <c r="U26" s="58"/>
      <c r="V26" s="58"/>
      <c r="W26" s="58"/>
    </row>
    <row r="27" spans="2:23" s="57" customFormat="1" ht="15" customHeight="1" thickBot="1" x14ac:dyDescent="0.3">
      <c r="B27" s="67" t="s">
        <v>76</v>
      </c>
      <c r="C27" s="63"/>
      <c r="D27" s="68" t="s">
        <v>286</v>
      </c>
      <c r="E27" s="65"/>
      <c r="F27" s="68" t="s">
        <v>286</v>
      </c>
      <c r="H27" s="67" t="s">
        <v>77</v>
      </c>
      <c r="J27" s="68" t="s">
        <v>78</v>
      </c>
      <c r="K27" s="69"/>
      <c r="L27" s="796" t="s">
        <v>1423</v>
      </c>
      <c r="M27" s="792"/>
      <c r="N27" s="796" t="s">
        <v>1425</v>
      </c>
      <c r="O27" s="69"/>
      <c r="P27" s="67" t="s">
        <v>88</v>
      </c>
      <c r="Q27" s="91" t="s">
        <v>19</v>
      </c>
      <c r="R27" s="58"/>
      <c r="S27" s="58"/>
      <c r="T27" s="58"/>
      <c r="U27" s="58"/>
      <c r="V27" s="58"/>
      <c r="W27" s="58"/>
    </row>
    <row r="28" spans="2:23" s="57" customFormat="1" ht="15" customHeight="1" x14ac:dyDescent="0.25">
      <c r="B28" s="71"/>
      <c r="D28" s="71" t="s">
        <v>19</v>
      </c>
      <c r="E28" s="72"/>
      <c r="F28" s="71"/>
      <c r="G28" s="63"/>
      <c r="H28" s="73"/>
      <c r="J28" s="76"/>
      <c r="L28" s="81"/>
      <c r="M28" s="794"/>
      <c r="N28" s="81"/>
      <c r="P28" s="76"/>
      <c r="Q28" s="77"/>
      <c r="R28" s="78" t="b">
        <f t="shared" ref="R28:R34" si="6">IF(OR(S28=0,S28=4),TRUE, FALSE)</f>
        <v>0</v>
      </c>
      <c r="S28" s="78">
        <f t="shared" ref="S28:S34" si="7">COUNTIF(T28:W28,FALSE)</f>
        <v>1</v>
      </c>
      <c r="T28" s="79" t="b">
        <f t="shared" ref="T28:T34" si="8">ISBLANK(B28)</f>
        <v>1</v>
      </c>
      <c r="U28" s="79" t="b">
        <f t="shared" ref="U28:U34" si="9">ISBLANK(D28)</f>
        <v>0</v>
      </c>
      <c r="V28" s="79" t="b">
        <f t="shared" ref="V28:V34" si="10">ISBLANK(F28)</f>
        <v>1</v>
      </c>
      <c r="W28" s="79" t="b">
        <f t="shared" ref="W28:W34" si="11">ISBLANK(H28)</f>
        <v>1</v>
      </c>
    </row>
    <row r="29" spans="2:23" s="57" customFormat="1" ht="15" customHeight="1" x14ac:dyDescent="0.25">
      <c r="B29" s="71"/>
      <c r="D29" s="71" t="s">
        <v>19</v>
      </c>
      <c r="E29" s="72"/>
      <c r="F29" s="71"/>
      <c r="G29" s="63"/>
      <c r="H29" s="73"/>
      <c r="J29" s="76"/>
      <c r="L29" s="81"/>
      <c r="M29" s="794"/>
      <c r="N29" s="81"/>
      <c r="P29" s="76"/>
      <c r="Q29" s="77"/>
      <c r="R29" s="78" t="b">
        <f t="shared" si="6"/>
        <v>0</v>
      </c>
      <c r="S29" s="78">
        <f t="shared" si="7"/>
        <v>1</v>
      </c>
      <c r="T29" s="79" t="b">
        <f t="shared" si="8"/>
        <v>1</v>
      </c>
      <c r="U29" s="79" t="b">
        <f t="shared" si="9"/>
        <v>0</v>
      </c>
      <c r="V29" s="79" t="b">
        <f t="shared" si="10"/>
        <v>1</v>
      </c>
      <c r="W29" s="79" t="b">
        <f t="shared" si="11"/>
        <v>1</v>
      </c>
    </row>
    <row r="30" spans="2:23" s="57" customFormat="1" ht="15" customHeight="1" x14ac:dyDescent="0.25">
      <c r="B30" s="71"/>
      <c r="D30" s="71" t="s">
        <v>19</v>
      </c>
      <c r="E30" s="72"/>
      <c r="F30" s="71"/>
      <c r="G30" s="63"/>
      <c r="H30" s="73">
        <v>0</v>
      </c>
      <c r="J30" s="76"/>
      <c r="L30" s="81"/>
      <c r="M30" s="794"/>
      <c r="N30" s="81"/>
      <c r="P30" s="76"/>
      <c r="Q30" s="77"/>
      <c r="R30" s="78" t="b">
        <f t="shared" si="6"/>
        <v>0</v>
      </c>
      <c r="S30" s="78">
        <f t="shared" si="7"/>
        <v>2</v>
      </c>
      <c r="T30" s="79" t="b">
        <f t="shared" si="8"/>
        <v>1</v>
      </c>
      <c r="U30" s="79" t="b">
        <f t="shared" si="9"/>
        <v>0</v>
      </c>
      <c r="V30" s="79" t="b">
        <f t="shared" si="10"/>
        <v>1</v>
      </c>
      <c r="W30" s="79" t="b">
        <f t="shared" si="11"/>
        <v>0</v>
      </c>
    </row>
    <row r="31" spans="2:23" s="57" customFormat="1" ht="15" customHeight="1" x14ac:dyDescent="0.25">
      <c r="B31" s="71"/>
      <c r="D31" s="71" t="s">
        <v>19</v>
      </c>
      <c r="E31" s="72"/>
      <c r="F31" s="71"/>
      <c r="G31" s="63"/>
      <c r="H31" s="73"/>
      <c r="J31" s="76"/>
      <c r="L31" s="81"/>
      <c r="M31" s="794"/>
      <c r="N31" s="81"/>
      <c r="P31" s="76"/>
      <c r="Q31" s="77"/>
      <c r="R31" s="78" t="b">
        <f t="shared" si="6"/>
        <v>0</v>
      </c>
      <c r="S31" s="78">
        <f t="shared" si="7"/>
        <v>1</v>
      </c>
      <c r="T31" s="79" t="b">
        <f t="shared" si="8"/>
        <v>1</v>
      </c>
      <c r="U31" s="79" t="b">
        <f t="shared" si="9"/>
        <v>0</v>
      </c>
      <c r="V31" s="79" t="b">
        <f t="shared" si="10"/>
        <v>1</v>
      </c>
      <c r="W31" s="79" t="b">
        <f t="shared" si="11"/>
        <v>1</v>
      </c>
    </row>
    <row r="32" spans="2:23" s="57" customFormat="1" ht="15" customHeight="1" x14ac:dyDescent="0.25">
      <c r="B32" s="71"/>
      <c r="D32" s="71" t="s">
        <v>19</v>
      </c>
      <c r="E32" s="72"/>
      <c r="F32" s="71"/>
      <c r="G32" s="63"/>
      <c r="H32" s="73"/>
      <c r="J32" s="76"/>
      <c r="L32" s="81"/>
      <c r="M32" s="794"/>
      <c r="N32" s="81"/>
      <c r="P32" s="76"/>
      <c r="Q32" s="77"/>
      <c r="R32" s="78" t="b">
        <f t="shared" si="6"/>
        <v>0</v>
      </c>
      <c r="S32" s="78">
        <f t="shared" si="7"/>
        <v>1</v>
      </c>
      <c r="T32" s="79" t="b">
        <f t="shared" si="8"/>
        <v>1</v>
      </c>
      <c r="U32" s="79" t="b">
        <f t="shared" si="9"/>
        <v>0</v>
      </c>
      <c r="V32" s="79" t="b">
        <f t="shared" si="10"/>
        <v>1</v>
      </c>
      <c r="W32" s="79" t="b">
        <f t="shared" si="11"/>
        <v>1</v>
      </c>
    </row>
    <row r="33" spans="1:23" s="57" customFormat="1" ht="15" customHeight="1" x14ac:dyDescent="0.25">
      <c r="B33" s="71"/>
      <c r="D33" s="71" t="s">
        <v>19</v>
      </c>
      <c r="E33" s="72"/>
      <c r="F33" s="71"/>
      <c r="G33" s="63"/>
      <c r="H33" s="73"/>
      <c r="J33" s="76"/>
      <c r="L33" s="81"/>
      <c r="M33" s="794"/>
      <c r="N33" s="81"/>
      <c r="P33" s="76"/>
      <c r="Q33" s="77"/>
      <c r="R33" s="78" t="b">
        <f t="shared" si="6"/>
        <v>0</v>
      </c>
      <c r="S33" s="78">
        <f t="shared" si="7"/>
        <v>1</v>
      </c>
      <c r="T33" s="79" t="b">
        <f t="shared" si="8"/>
        <v>1</v>
      </c>
      <c r="U33" s="79" t="b">
        <f t="shared" si="9"/>
        <v>0</v>
      </c>
      <c r="V33" s="79" t="b">
        <f t="shared" si="10"/>
        <v>1</v>
      </c>
      <c r="W33" s="79" t="b">
        <f t="shared" si="11"/>
        <v>1</v>
      </c>
    </row>
    <row r="34" spans="1:23" s="57" customFormat="1" ht="15" customHeight="1" x14ac:dyDescent="0.25">
      <c r="B34" s="71"/>
      <c r="D34" s="71" t="s">
        <v>19</v>
      </c>
      <c r="E34" s="72"/>
      <c r="F34" s="71"/>
      <c r="G34" s="63"/>
      <c r="H34" s="73"/>
      <c r="J34" s="76"/>
      <c r="L34" s="81"/>
      <c r="M34" s="794"/>
      <c r="N34" s="81"/>
      <c r="P34" s="76"/>
      <c r="Q34" s="77"/>
      <c r="R34" s="78" t="b">
        <f t="shared" si="6"/>
        <v>0</v>
      </c>
      <c r="S34" s="78">
        <f t="shared" si="7"/>
        <v>1</v>
      </c>
      <c r="T34" s="79" t="b">
        <f t="shared" si="8"/>
        <v>1</v>
      </c>
      <c r="U34" s="79" t="b">
        <f t="shared" si="9"/>
        <v>0</v>
      </c>
      <c r="V34" s="79" t="b">
        <f t="shared" si="10"/>
        <v>1</v>
      </c>
      <c r="W34" s="79" t="b">
        <f t="shared" si="11"/>
        <v>1</v>
      </c>
    </row>
    <row r="35" spans="1:23" s="57" customFormat="1" ht="15" customHeight="1" thickBot="1" x14ac:dyDescent="0.3">
      <c r="E35" s="63"/>
      <c r="F35" s="63" t="s">
        <v>80</v>
      </c>
      <c r="G35" s="63"/>
      <c r="H35" s="82">
        <f>SUM(H28:H34)</f>
        <v>0</v>
      </c>
      <c r="J35" s="345" t="str">
        <f>IF(H35=0," ","Contact OSC if you have an advance to other funds/component units")</f>
        <v xml:space="preserve"> </v>
      </c>
      <c r="K35" s="343"/>
      <c r="L35" s="343"/>
      <c r="M35" s="343"/>
      <c r="N35" s="343"/>
      <c r="O35" s="343"/>
      <c r="P35" s="343"/>
      <c r="Q35" s="58"/>
      <c r="R35" s="78">
        <f>COUNTIF(R28:R34,FALSE)</f>
        <v>7</v>
      </c>
      <c r="S35" s="58"/>
      <c r="T35" s="58"/>
      <c r="U35" s="58"/>
      <c r="V35" s="58"/>
      <c r="W35" s="58"/>
    </row>
    <row r="36" spans="1:23" s="57" customFormat="1" ht="13.2" x14ac:dyDescent="0.25">
      <c r="E36" s="63"/>
      <c r="F36" s="63"/>
      <c r="G36" s="63"/>
      <c r="O36" s="63"/>
    </row>
    <row r="37" spans="1:23" s="57" customFormat="1" ht="15" customHeight="1" x14ac:dyDescent="0.25">
      <c r="B37" s="83"/>
      <c r="E37" s="63"/>
      <c r="F37" s="63"/>
      <c r="G37" s="63"/>
      <c r="O37" s="63"/>
    </row>
    <row r="38" spans="1:23" s="57" customFormat="1" ht="15" customHeight="1" x14ac:dyDescent="0.25">
      <c r="E38" s="63"/>
      <c r="F38" s="63"/>
      <c r="G38" s="63"/>
      <c r="O38" s="63"/>
    </row>
    <row r="39" spans="1:23" s="57" customFormat="1" ht="15" customHeight="1" x14ac:dyDescent="0.25">
      <c r="E39" s="63"/>
      <c r="F39" s="63"/>
      <c r="G39" s="63"/>
      <c r="O39" s="63"/>
    </row>
    <row r="40" spans="1:23" s="57" customFormat="1" ht="15" hidden="1" customHeight="1" x14ac:dyDescent="0.25">
      <c r="A40" s="20" t="str">
        <f ca="1">MID(CELL("filename",A5),FIND("]",CELL("filename",A5))+1,256)</f>
        <v>535</v>
      </c>
      <c r="B40" s="20"/>
      <c r="E40" s="63"/>
      <c r="F40" s="63"/>
      <c r="G40" s="63"/>
      <c r="O40" s="63"/>
    </row>
    <row r="41" spans="1:23" s="57" customFormat="1" ht="15" hidden="1" customHeight="1" x14ac:dyDescent="0.25">
      <c r="A41" s="20" t="s">
        <v>9</v>
      </c>
      <c r="B41" s="20"/>
      <c r="E41" s="63"/>
      <c r="F41" s="63"/>
      <c r="G41" s="63"/>
      <c r="O41" s="63"/>
    </row>
    <row r="42" spans="1:23" s="57" customFormat="1" ht="15" hidden="1" customHeight="1" x14ac:dyDescent="0.25">
      <c r="A42" s="20" t="s">
        <v>10</v>
      </c>
      <c r="B42" s="20"/>
      <c r="E42" s="63"/>
      <c r="F42" s="63"/>
      <c r="G42" s="63"/>
      <c r="O42" s="63"/>
    </row>
    <row r="43" spans="1:23" s="57" customFormat="1" ht="15" hidden="1" customHeight="1" x14ac:dyDescent="0.25">
      <c r="A43" s="20" t="s">
        <v>11</v>
      </c>
      <c r="B43" s="20"/>
      <c r="E43" s="63"/>
      <c r="F43" s="63"/>
      <c r="G43" s="63"/>
      <c r="O43" s="63"/>
    </row>
    <row r="44" spans="1:23" ht="20.85" hidden="1" customHeight="1" x14ac:dyDescent="0.3">
      <c r="A44" s="20" t="s">
        <v>12</v>
      </c>
      <c r="B44" s="20"/>
    </row>
    <row r="45" spans="1:23" ht="20.85" hidden="1" customHeight="1" x14ac:dyDescent="0.3">
      <c r="A45" s="20" t="s">
        <v>13</v>
      </c>
      <c r="B45" s="20"/>
    </row>
    <row r="46" spans="1:23" ht="20.85" hidden="1" customHeight="1" x14ac:dyDescent="0.3">
      <c r="A46" s="20" t="s">
        <v>14</v>
      </c>
      <c r="B46" s="20"/>
    </row>
    <row r="47" spans="1:23" ht="20.85" hidden="1" customHeight="1" x14ac:dyDescent="0.3">
      <c r="A47" s="20" t="s">
        <v>15</v>
      </c>
      <c r="B47" s="20"/>
      <c r="D47" s="86" t="s">
        <v>19</v>
      </c>
      <c r="E47" s="86"/>
      <c r="F47" s="86"/>
      <c r="G47" s="86"/>
      <c r="H47" s="86"/>
      <c r="I47" s="86"/>
      <c r="J47" s="86"/>
      <c r="K47" s="86"/>
    </row>
    <row r="48" spans="1:23" ht="20.85" hidden="1" customHeight="1" x14ac:dyDescent="0.3">
      <c r="A48" s="20" t="s">
        <v>16</v>
      </c>
      <c r="B48" s="20"/>
      <c r="D48" s="86" t="s">
        <v>19</v>
      </c>
      <c r="E48" s="86"/>
      <c r="F48" s="86"/>
      <c r="G48" s="86"/>
      <c r="L48" s="87" t="s">
        <v>19</v>
      </c>
      <c r="M48" s="87"/>
      <c r="N48" s="87"/>
      <c r="O48" s="87"/>
      <c r="Q48" s="86" t="s">
        <v>19</v>
      </c>
    </row>
    <row r="49" spans="1:17" ht="20.85" hidden="1" customHeight="1" x14ac:dyDescent="0.3">
      <c r="A49" s="20" t="s">
        <v>17</v>
      </c>
      <c r="B49" s="20"/>
    </row>
    <row r="50" spans="1:17" ht="20.85" hidden="1" customHeight="1" x14ac:dyDescent="0.3">
      <c r="A50" s="20" t="s">
        <v>18</v>
      </c>
      <c r="B50" s="20"/>
    </row>
    <row r="51" spans="1:17" ht="20.85" customHeight="1" x14ac:dyDescent="0.3"/>
    <row r="52" spans="1:17" ht="20.85" customHeight="1" x14ac:dyDescent="0.3"/>
    <row r="53" spans="1:17" ht="20.85" customHeight="1" x14ac:dyDescent="0.3"/>
    <row r="54" spans="1:17" ht="20.85" customHeight="1" x14ac:dyDescent="0.3"/>
    <row r="55" spans="1:17" ht="20.85" customHeight="1" x14ac:dyDescent="0.3">
      <c r="D55" s="84" t="s">
        <v>19</v>
      </c>
    </row>
    <row r="56" spans="1:17" ht="20.85" customHeight="1" x14ac:dyDescent="0.3"/>
    <row r="57" spans="1:17" ht="20.85" customHeight="1" x14ac:dyDescent="0.3"/>
    <row r="58" spans="1:17" ht="20.85" customHeight="1" x14ac:dyDescent="0.3">
      <c r="D58" s="86" t="s">
        <v>19</v>
      </c>
      <c r="E58" s="86"/>
      <c r="F58" s="86"/>
      <c r="G58" s="86"/>
      <c r="L58" s="87" t="s">
        <v>19</v>
      </c>
      <c r="M58" s="87"/>
      <c r="N58" s="87"/>
      <c r="O58" s="87"/>
      <c r="Q58" s="86" t="s">
        <v>19</v>
      </c>
    </row>
  </sheetData>
  <sheetProtection algorithmName="SHA-512" hashValue="Ucmb2T8EWLYyRPVkYA7xmMlgyMm2lgk/4PB7jmGUcNH48mbfcqAqBfp5YuebXD8oOZjmMb22FJ1pjELN3sNQCw==" saltValue="3ZxRPtsl+OWy3EG18mYtcw==" spinCount="100000" sheet="1" objects="1" scenarios="1" autoFilter="0"/>
  <dataConsolidate/>
  <mergeCells count="15">
    <mergeCell ref="B1:P1"/>
    <mergeCell ref="B2:P2"/>
    <mergeCell ref="B3:P3"/>
    <mergeCell ref="D5:G5"/>
    <mergeCell ref="L4:P4"/>
    <mergeCell ref="O5:R5"/>
    <mergeCell ref="B24:L24"/>
    <mergeCell ref="J12:N12"/>
    <mergeCell ref="J25:N25"/>
    <mergeCell ref="D6:H6"/>
    <mergeCell ref="O6:R6"/>
    <mergeCell ref="B11:H11"/>
    <mergeCell ref="O8:R8"/>
    <mergeCell ref="O7:R7"/>
    <mergeCell ref="D7:G7"/>
  </mergeCells>
  <phoneticPr fontId="12" type="noConversion"/>
  <conditionalFormatting sqref="Q1:Q3">
    <cfRule type="cellIs" dxfId="12" priority="1" stopIfTrue="1" operator="equal">
      <formula>"na"</formula>
    </cfRule>
  </conditionalFormatting>
  <dataValidations count="3">
    <dataValidation type="textLength" operator="equal" allowBlank="1" showInputMessage="1" showErrorMessage="1" errorTitle="Invalid data!" error="GASB number must be 4 digits." sqref="F28:F34 F15:F21" xr:uid="{00000000-0002-0000-1300-000000000000}">
      <formula1>4</formula1>
    </dataValidation>
    <dataValidation type="list" allowBlank="1" showInputMessage="1" showErrorMessage="1" sqref="D15:D21" xr:uid="{00000000-0002-0000-1300-000001000000}">
      <formula1>Listfor515and520</formula1>
    </dataValidation>
    <dataValidation type="list" allowBlank="1" showInputMessage="1" showErrorMessage="1" sqref="D28:D34" xr:uid="{00000000-0002-0000-1300-000002000000}">
      <formula1>Listfor535</formula1>
    </dataValidation>
  </dataValidations>
  <hyperlinks>
    <hyperlink ref="B1:P1" location="Index!A1" display="Index!A1" xr:uid="{00000000-0004-0000-1300-000000000000}"/>
  </hyperlinks>
  <pageMargins left="0.95" right="0.45" top="0.5" bottom="0.5" header="0.3" footer="0.3"/>
  <pageSetup scale="89" orientation="landscape" r:id="rId1"/>
  <headerFooter>
    <oddFooter>&amp;R&amp;A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dimension ref="A1:T50"/>
  <sheetViews>
    <sheetView showGridLines="0" workbookViewId="0">
      <selection activeCell="G4" sqref="G4"/>
    </sheetView>
  </sheetViews>
  <sheetFormatPr defaultColWidth="7.44140625" defaultRowHeight="13.2" x14ac:dyDescent="0.25"/>
  <cols>
    <col min="1" max="1" width="8.109375" style="549" customWidth="1"/>
    <col min="2" max="2" width="16.44140625" style="549" customWidth="1"/>
    <col min="3" max="3" width="1.88671875" style="549" customWidth="1"/>
    <col min="4" max="4" width="17" style="549" customWidth="1"/>
    <col min="5" max="5" width="1.5546875" style="549" customWidth="1"/>
    <col min="6" max="6" width="20.109375" style="549" customWidth="1"/>
    <col min="7" max="7" width="29.88671875" style="549" customWidth="1"/>
    <col min="8" max="16384" width="7.44140625" style="549"/>
  </cols>
  <sheetData>
    <row r="1" spans="1:20" s="535" customFormat="1" ht="15" customHeight="1" x14ac:dyDescent="0.35">
      <c r="A1" s="854" t="str">
        <f>+Index!$A$1</f>
        <v>Office of the State Controller</v>
      </c>
      <c r="B1" s="854"/>
      <c r="C1" s="854"/>
      <c r="D1" s="854"/>
      <c r="E1" s="854"/>
      <c r="F1" s="854"/>
      <c r="G1" s="854"/>
      <c r="H1" s="553"/>
      <c r="I1" s="552"/>
      <c r="J1" s="552"/>
      <c r="K1" s="552"/>
      <c r="L1" s="534"/>
      <c r="M1" s="534"/>
      <c r="N1" s="534"/>
      <c r="O1" s="534"/>
      <c r="P1" s="534"/>
      <c r="Q1" s="534"/>
      <c r="R1" s="534"/>
      <c r="S1" s="534"/>
      <c r="T1" s="534"/>
    </row>
    <row r="2" spans="1:20" s="535" customFormat="1" ht="15" customHeight="1" x14ac:dyDescent="0.35">
      <c r="A2" s="1033" t="str">
        <f>+Index!$A$2</f>
        <v>2022 ACFR Worksheets for Nonmajor Component Units</v>
      </c>
      <c r="B2" s="1033"/>
      <c r="C2" s="1033"/>
      <c r="D2" s="1033"/>
      <c r="E2" s="1033"/>
      <c r="F2" s="1033"/>
      <c r="G2" s="1033"/>
      <c r="H2" s="554"/>
      <c r="I2" s="554"/>
      <c r="J2" s="554"/>
      <c r="K2" s="554"/>
      <c r="L2" s="554"/>
      <c r="M2" s="554"/>
      <c r="N2" s="534"/>
      <c r="O2" s="534"/>
      <c r="P2" s="534"/>
      <c r="Q2" s="534"/>
      <c r="R2" s="534"/>
      <c r="S2" s="534"/>
      <c r="T2" s="534"/>
    </row>
    <row r="3" spans="1:20" s="535" customFormat="1" ht="15" customHeight="1" x14ac:dyDescent="0.35">
      <c r="A3" s="1039" t="s">
        <v>1099</v>
      </c>
      <c r="B3" s="1039"/>
      <c r="C3" s="1039"/>
      <c r="D3" s="1039"/>
      <c r="E3" s="1039"/>
      <c r="F3" s="1039"/>
      <c r="G3" s="1039"/>
      <c r="H3" s="553"/>
      <c r="I3" s="552"/>
      <c r="J3" s="552"/>
      <c r="K3" s="552"/>
      <c r="L3" s="534"/>
      <c r="M3" s="534"/>
      <c r="N3" s="534"/>
      <c r="O3" s="534"/>
      <c r="P3" s="534"/>
      <c r="Q3" s="534"/>
      <c r="R3" s="534"/>
      <c r="S3" s="534"/>
      <c r="T3" s="534"/>
    </row>
    <row r="4" spans="1:20" s="535" customFormat="1" ht="15" customHeight="1" x14ac:dyDescent="0.35">
      <c r="A4" s="536"/>
      <c r="B4" s="536"/>
      <c r="C4" s="536"/>
      <c r="D4" s="536"/>
      <c r="E4" s="536"/>
      <c r="F4" s="536"/>
      <c r="G4" s="536" t="str">
        <f>IF(Index!$B$62="na","NA","")</f>
        <v/>
      </c>
      <c r="H4" s="533"/>
      <c r="I4" s="533"/>
      <c r="J4" s="533"/>
      <c r="K4" s="533"/>
      <c r="L4" s="534"/>
      <c r="M4" s="534"/>
      <c r="N4" s="534"/>
      <c r="O4" s="534"/>
      <c r="P4" s="534"/>
      <c r="Q4" s="534"/>
      <c r="R4" s="534"/>
      <c r="S4" s="534"/>
      <c r="T4" s="534"/>
    </row>
    <row r="5" spans="1:20" s="543" customFormat="1" ht="15" customHeight="1" x14ac:dyDescent="0.25">
      <c r="A5" s="537"/>
      <c r="B5" s="538"/>
      <c r="C5" s="555"/>
      <c r="D5" s="539" t="s">
        <v>357</v>
      </c>
      <c r="E5" s="539"/>
      <c r="F5" s="1040" t="str">
        <f>Index!$D$10</f>
        <v>0A</v>
      </c>
      <c r="G5" s="1040"/>
      <c r="H5" s="540"/>
      <c r="I5" s="540"/>
      <c r="J5" s="541"/>
      <c r="K5" s="542"/>
      <c r="L5" s="534"/>
      <c r="M5" s="534"/>
      <c r="N5" s="534"/>
      <c r="O5" s="534"/>
      <c r="P5" s="534"/>
      <c r="Q5" s="534"/>
      <c r="R5" s="534"/>
      <c r="S5" s="534"/>
      <c r="T5" s="534"/>
    </row>
    <row r="6" spans="1:20" s="543" customFormat="1" ht="15" customHeight="1" x14ac:dyDescent="0.25">
      <c r="A6" s="544"/>
      <c r="B6" s="538"/>
      <c r="D6" s="539" t="s">
        <v>358</v>
      </c>
      <c r="E6" s="539"/>
      <c r="F6" s="1040" t="str">
        <f>Index!$D$11</f>
        <v>NC Housing Finance Agency</v>
      </c>
      <c r="G6" s="1040"/>
      <c r="H6" s="540"/>
      <c r="I6" s="540"/>
      <c r="J6" s="541"/>
      <c r="L6" s="534"/>
      <c r="M6" s="534"/>
      <c r="N6" s="534"/>
      <c r="O6" s="534"/>
      <c r="P6" s="534"/>
      <c r="Q6" s="534"/>
      <c r="R6" s="534"/>
      <c r="S6" s="534"/>
      <c r="T6" s="534"/>
    </row>
    <row r="7" spans="1:20" s="543" customFormat="1" ht="15" customHeight="1" x14ac:dyDescent="0.25">
      <c r="D7" s="539" t="s">
        <v>359</v>
      </c>
      <c r="E7" s="539"/>
      <c r="F7" s="1038" t="str">
        <f>CONCATENATE(Index!$D$14,"  ",Index!$D$16)</f>
        <v xml:space="preserve">  </v>
      </c>
      <c r="G7" s="1038"/>
      <c r="H7" s="540"/>
      <c r="I7" s="540"/>
      <c r="J7" s="541"/>
      <c r="L7" s="534"/>
      <c r="M7" s="534"/>
      <c r="N7" s="534"/>
      <c r="O7" s="534"/>
      <c r="P7" s="534"/>
      <c r="Q7" s="534"/>
      <c r="R7" s="534"/>
      <c r="S7" s="534"/>
      <c r="T7" s="534"/>
    </row>
    <row r="8" spans="1:20" s="543" customFormat="1" ht="15" customHeight="1" thickBot="1" x14ac:dyDescent="0.3">
      <c r="A8" s="545"/>
      <c r="B8" s="545"/>
      <c r="C8" s="545"/>
      <c r="D8" s="546"/>
      <c r="E8" s="546"/>
      <c r="F8" s="545"/>
      <c r="G8" s="547"/>
      <c r="H8" s="540"/>
      <c r="I8" s="540"/>
      <c r="J8" s="541"/>
      <c r="L8" s="534"/>
      <c r="M8" s="534"/>
      <c r="N8" s="534"/>
      <c r="O8" s="534"/>
      <c r="P8" s="534"/>
      <c r="Q8" s="534"/>
      <c r="R8" s="534"/>
      <c r="S8" s="534"/>
      <c r="T8" s="534"/>
    </row>
    <row r="9" spans="1:20" s="543" customFormat="1" ht="15" customHeight="1" x14ac:dyDescent="0.25">
      <c r="H9" s="541"/>
      <c r="I9" s="541"/>
      <c r="J9" s="541"/>
      <c r="L9" s="534"/>
      <c r="M9" s="534"/>
      <c r="N9" s="534"/>
      <c r="O9" s="534"/>
      <c r="P9" s="534"/>
      <c r="Q9" s="534"/>
      <c r="R9" s="534"/>
      <c r="S9" s="534"/>
      <c r="T9" s="534"/>
    </row>
    <row r="10" spans="1:20" s="543" customFormat="1" ht="13.35" customHeight="1" x14ac:dyDescent="0.25">
      <c r="A10" s="548" t="s">
        <v>1434</v>
      </c>
      <c r="B10" s="548"/>
      <c r="C10" s="548"/>
      <c r="D10" s="548"/>
      <c r="E10" s="548"/>
      <c r="F10" s="548"/>
      <c r="G10" s="548"/>
      <c r="H10" s="549"/>
      <c r="I10" s="541"/>
      <c r="J10" s="541"/>
      <c r="L10" s="534"/>
      <c r="M10" s="534"/>
      <c r="N10" s="534"/>
      <c r="O10" s="534"/>
      <c r="P10" s="534"/>
      <c r="Q10" s="534"/>
      <c r="R10" s="534"/>
      <c r="S10" s="534"/>
      <c r="T10" s="534"/>
    </row>
    <row r="11" spans="1:20" s="543" customFormat="1" ht="13.35" customHeight="1" x14ac:dyDescent="0.25">
      <c r="A11" s="548" t="s">
        <v>1100</v>
      </c>
      <c r="B11" s="548"/>
      <c r="C11" s="548"/>
      <c r="D11" s="548"/>
      <c r="E11" s="548"/>
      <c r="F11" s="548"/>
      <c r="G11" s="548"/>
      <c r="H11" s="549"/>
      <c r="I11" s="541"/>
      <c r="J11" s="541"/>
      <c r="L11" s="534"/>
      <c r="M11" s="534"/>
      <c r="N11" s="534"/>
      <c r="O11" s="534"/>
      <c r="P11" s="534"/>
      <c r="Q11" s="534"/>
      <c r="R11" s="534"/>
      <c r="S11" s="534"/>
      <c r="T11" s="534"/>
    </row>
    <row r="12" spans="1:20" s="543" customFormat="1" ht="13.35" customHeight="1" x14ac:dyDescent="0.25">
      <c r="A12" s="548" t="s">
        <v>1101</v>
      </c>
      <c r="B12" s="548"/>
      <c r="C12" s="548"/>
      <c r="D12" s="548"/>
      <c r="E12" s="548"/>
      <c r="F12" s="548"/>
      <c r="G12" s="548"/>
      <c r="H12" s="549"/>
      <c r="I12" s="541"/>
      <c r="J12" s="541"/>
      <c r="L12" s="534"/>
      <c r="M12" s="534"/>
      <c r="N12" s="534"/>
      <c r="O12" s="534"/>
      <c r="P12" s="534"/>
      <c r="Q12" s="534"/>
      <c r="R12" s="534"/>
      <c r="S12" s="534"/>
      <c r="T12" s="534"/>
    </row>
    <row r="13" spans="1:20" ht="13.35" customHeight="1" x14ac:dyDescent="0.25">
      <c r="A13" s="548"/>
      <c r="B13" s="548"/>
      <c r="C13" s="548"/>
      <c r="D13" s="548"/>
      <c r="E13" s="548"/>
      <c r="F13" s="548"/>
      <c r="G13" s="548"/>
    </row>
    <row r="14" spans="1:20" x14ac:dyDescent="0.25">
      <c r="A14" s="550" t="s">
        <v>1392</v>
      </c>
      <c r="B14" s="548"/>
      <c r="C14" s="548"/>
      <c r="D14" s="548"/>
      <c r="E14" s="548"/>
      <c r="F14" s="551"/>
      <c r="G14" s="548"/>
    </row>
    <row r="15" spans="1:20" x14ac:dyDescent="0.25">
      <c r="A15" s="548" t="s">
        <v>1393</v>
      </c>
      <c r="B15" s="548"/>
      <c r="C15" s="548"/>
      <c r="D15" s="548"/>
      <c r="E15" s="548"/>
      <c r="F15" s="548"/>
      <c r="G15" s="548"/>
    </row>
    <row r="16" spans="1:20" x14ac:dyDescent="0.25">
      <c r="A16" s="548" t="s">
        <v>1102</v>
      </c>
      <c r="B16" s="548"/>
      <c r="C16" s="548"/>
      <c r="D16" s="548"/>
      <c r="E16" s="548"/>
      <c r="F16" s="548"/>
      <c r="G16" s="548"/>
    </row>
    <row r="25" spans="1:7" ht="13.8" thickBot="1" x14ac:dyDescent="0.3">
      <c r="A25" s="545"/>
      <c r="B25" s="545"/>
      <c r="C25" s="545"/>
      <c r="D25" s="546"/>
      <c r="E25" s="546"/>
      <c r="F25" s="545"/>
      <c r="G25" s="547"/>
    </row>
    <row r="26" spans="1:7" x14ac:dyDescent="0.25">
      <c r="A26" s="543"/>
      <c r="B26" s="543"/>
      <c r="C26" s="543"/>
      <c r="D26" s="543"/>
      <c r="E26" s="543"/>
      <c r="F26" s="543"/>
      <c r="G26" s="543"/>
    </row>
    <row r="27" spans="1:7" x14ac:dyDescent="0.25">
      <c r="A27" s="548" t="s">
        <v>1435</v>
      </c>
      <c r="B27" s="548"/>
      <c r="C27" s="548"/>
      <c r="D27" s="548"/>
      <c r="E27" s="548"/>
      <c r="F27" s="548"/>
      <c r="G27" s="548"/>
    </row>
    <row r="28" spans="1:7" x14ac:dyDescent="0.25">
      <c r="A28" s="548" t="s">
        <v>1100</v>
      </c>
      <c r="B28" s="548"/>
      <c r="C28" s="548"/>
      <c r="D28" s="548"/>
      <c r="E28" s="548"/>
      <c r="F28" s="548"/>
      <c r="G28" s="548"/>
    </row>
    <row r="29" spans="1:7" x14ac:dyDescent="0.25">
      <c r="A29" s="548" t="s">
        <v>1103</v>
      </c>
      <c r="B29" s="548"/>
      <c r="C29" s="548"/>
      <c r="D29" s="548"/>
      <c r="E29" s="548"/>
      <c r="F29" s="548"/>
      <c r="G29" s="548"/>
    </row>
    <row r="31" spans="1:7" x14ac:dyDescent="0.25">
      <c r="A31" s="550" t="s">
        <v>1394</v>
      </c>
      <c r="B31" s="548"/>
      <c r="C31" s="548"/>
      <c r="D31" s="548"/>
      <c r="E31" s="548"/>
      <c r="F31" s="551"/>
      <c r="G31" s="548"/>
    </row>
    <row r="32" spans="1:7" x14ac:dyDescent="0.25">
      <c r="A32" s="548" t="s">
        <v>1395</v>
      </c>
      <c r="B32" s="548"/>
      <c r="C32" s="548"/>
      <c r="D32" s="548"/>
      <c r="E32" s="548"/>
      <c r="F32" s="548"/>
      <c r="G32" s="548"/>
    </row>
    <row r="33" spans="1:7" x14ac:dyDescent="0.25">
      <c r="A33" s="548" t="s">
        <v>1102</v>
      </c>
      <c r="B33" s="548"/>
      <c r="C33" s="548"/>
      <c r="D33" s="548"/>
      <c r="E33" s="548"/>
      <c r="F33" s="548"/>
      <c r="G33" s="548"/>
    </row>
    <row r="42" spans="1:7" ht="13.8" thickBot="1" x14ac:dyDescent="0.3">
      <c r="A42" s="545"/>
      <c r="B42" s="545"/>
      <c r="C42" s="545"/>
      <c r="D42" s="546"/>
      <c r="E42" s="546"/>
      <c r="F42" s="545"/>
      <c r="G42" s="547"/>
    </row>
    <row r="43" spans="1:7" x14ac:dyDescent="0.25">
      <c r="A43" s="543"/>
      <c r="B43" s="543"/>
      <c r="C43" s="543"/>
      <c r="D43" s="543"/>
      <c r="E43" s="543"/>
      <c r="F43" s="543"/>
      <c r="G43" s="543"/>
    </row>
    <row r="44" spans="1:7" x14ac:dyDescent="0.25">
      <c r="A44" s="548" t="s">
        <v>1436</v>
      </c>
      <c r="B44" s="548"/>
      <c r="C44" s="548"/>
      <c r="D44" s="548"/>
      <c r="E44" s="548"/>
      <c r="F44" s="548"/>
      <c r="G44" s="548"/>
    </row>
    <row r="45" spans="1:7" x14ac:dyDescent="0.25">
      <c r="A45" s="548" t="s">
        <v>1100</v>
      </c>
      <c r="B45" s="548"/>
      <c r="C45" s="548"/>
      <c r="D45" s="548"/>
      <c r="E45" s="548"/>
      <c r="F45" s="548"/>
      <c r="G45" s="548"/>
    </row>
    <row r="46" spans="1:7" x14ac:dyDescent="0.25">
      <c r="A46" s="548" t="s">
        <v>1104</v>
      </c>
      <c r="B46" s="548"/>
      <c r="C46" s="548"/>
      <c r="D46" s="548"/>
      <c r="E46" s="548"/>
      <c r="F46" s="548"/>
      <c r="G46" s="548"/>
    </row>
    <row r="48" spans="1:7" x14ac:dyDescent="0.25">
      <c r="A48" s="550" t="s">
        <v>1396</v>
      </c>
      <c r="B48" s="548"/>
      <c r="C48" s="548"/>
      <c r="D48" s="548"/>
      <c r="E48" s="548"/>
      <c r="F48" s="551"/>
      <c r="G48" s="548"/>
    </row>
    <row r="49" spans="1:7" x14ac:dyDescent="0.25">
      <c r="A49" s="548" t="s">
        <v>1395</v>
      </c>
      <c r="B49" s="548"/>
      <c r="C49" s="548"/>
      <c r="D49" s="548"/>
      <c r="E49" s="548"/>
      <c r="F49" s="548"/>
      <c r="G49" s="548"/>
    </row>
    <row r="50" spans="1:7" x14ac:dyDescent="0.25">
      <c r="A50" s="548" t="s">
        <v>1102</v>
      </c>
      <c r="B50" s="548"/>
      <c r="C50" s="548"/>
      <c r="D50" s="548"/>
      <c r="E50" s="548"/>
      <c r="F50" s="548"/>
      <c r="G50" s="548"/>
    </row>
  </sheetData>
  <sheetProtection algorithmName="SHA-512" hashValue="63Ue7ukyaOmWu8FQ3asLX/NMQnr7rfqrkjRdwLJ7jjOHNWnueiXRXnLGNx23Bn5UGt+AKMTdkziXa+gL0UmEcg==" saltValue="NaHPDnTzFdHwbwE6/O1wLg==" spinCount="100000" sheet="1" objects="1" scenarios="1" autoFilter="0"/>
  <mergeCells count="6">
    <mergeCell ref="F7:G7"/>
    <mergeCell ref="A1:G1"/>
    <mergeCell ref="A2:G2"/>
    <mergeCell ref="A3:G3"/>
    <mergeCell ref="F5:G5"/>
    <mergeCell ref="F6:G6"/>
  </mergeCells>
  <conditionalFormatting sqref="H1 H3">
    <cfRule type="cellIs" dxfId="11" priority="1" stopIfTrue="1" operator="equal">
      <formula>"na"</formula>
    </cfRule>
  </conditionalFormatting>
  <conditionalFormatting sqref="H1 H3">
    <cfRule type="cellIs" dxfId="10" priority="6" stopIfTrue="1" operator="equal">
      <formula>"na"</formula>
    </cfRule>
  </conditionalFormatting>
  <conditionalFormatting sqref="H1 H3">
    <cfRule type="cellIs" dxfId="9" priority="5" stopIfTrue="1" operator="equal">
      <formula>"na"</formula>
    </cfRule>
  </conditionalFormatting>
  <conditionalFormatting sqref="H1 H3">
    <cfRule type="cellIs" dxfId="8" priority="4" stopIfTrue="1" operator="equal">
      <formula>"na"</formula>
    </cfRule>
  </conditionalFormatting>
  <conditionalFormatting sqref="H1 H3">
    <cfRule type="cellIs" dxfId="7" priority="3" stopIfTrue="1" operator="equal">
      <formula>"na"</formula>
    </cfRule>
  </conditionalFormatting>
  <conditionalFormatting sqref="H1 H3">
    <cfRule type="cellIs" dxfId="6" priority="2" stopIfTrue="1" operator="equal">
      <formula>"na"</formula>
    </cfRule>
  </conditionalFormatting>
  <hyperlinks>
    <hyperlink ref="A1:G1" location="Index!A1" display="Index!A1" xr:uid="{00000000-0004-0000-1400-000000000000}"/>
  </hyperlinks>
  <pageMargins left="0.7" right="0.7" top="0.75" bottom="0.75" header="0.3" footer="0.3"/>
  <pageSetup scale="90" orientation="portrait" r:id="rId1"/>
  <headerFooter>
    <oddFooter>&amp;R602</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pageSetUpPr fitToPage="1"/>
  </sheetPr>
  <dimension ref="A1:J53"/>
  <sheetViews>
    <sheetView showGridLines="0" topLeftCell="A14" zoomScaleNormal="100" workbookViewId="0">
      <selection activeCell="P22" sqref="P22"/>
    </sheetView>
  </sheetViews>
  <sheetFormatPr defaultRowHeight="13.2" x14ac:dyDescent="0.25"/>
  <cols>
    <col min="1" max="1" width="20.109375" customWidth="1"/>
    <col min="3" max="3" width="14.5546875" customWidth="1"/>
    <col min="5" max="5" width="17" customWidth="1"/>
    <col min="6" max="6" width="1.5546875" customWidth="1"/>
    <col min="7" max="8" width="8.5546875" customWidth="1"/>
    <col min="9" max="9" width="5.5546875" customWidth="1"/>
    <col min="10" max="10" width="10.5546875" customWidth="1"/>
  </cols>
  <sheetData>
    <row r="1" spans="1:9" s="2" customFormat="1" ht="15" customHeight="1" x14ac:dyDescent="0.3">
      <c r="A1" s="854" t="str">
        <f>+Index!$A$1</f>
        <v>Office of the State Controller</v>
      </c>
      <c r="B1" s="854"/>
      <c r="C1" s="854"/>
      <c r="D1" s="854"/>
      <c r="E1" s="854"/>
      <c r="F1" s="854"/>
      <c r="G1" s="854"/>
      <c r="H1" s="854"/>
      <c r="I1" s="1051"/>
    </row>
    <row r="2" spans="1:9" s="2" customFormat="1" ht="15" customHeight="1" x14ac:dyDescent="0.3">
      <c r="A2" s="1052" t="str">
        <f>+Index!$A$2</f>
        <v>2022 ACFR Worksheets for Nonmajor Component Units</v>
      </c>
      <c r="B2" s="1052"/>
      <c r="C2" s="1052"/>
      <c r="D2" s="1052"/>
      <c r="E2" s="1052"/>
      <c r="F2" s="1052"/>
      <c r="G2" s="1052"/>
      <c r="H2" s="1052"/>
      <c r="I2" s="1051"/>
    </row>
    <row r="3" spans="1:9" s="2" customFormat="1" ht="15" customHeight="1" x14ac:dyDescent="0.3">
      <c r="A3" s="1052" t="s">
        <v>671</v>
      </c>
      <c r="B3" s="1052"/>
      <c r="C3" s="1052"/>
      <c r="D3" s="1052"/>
      <c r="E3" s="1052"/>
      <c r="F3" s="1052"/>
      <c r="G3" s="1052"/>
      <c r="H3" s="1052"/>
      <c r="I3" s="1051"/>
    </row>
    <row r="4" spans="1:9" s="2" customFormat="1" ht="15" customHeight="1" x14ac:dyDescent="0.3">
      <c r="A4" s="1052"/>
      <c r="B4" s="1052"/>
      <c r="C4" s="1052"/>
      <c r="D4" s="1052"/>
      <c r="E4" s="1052"/>
      <c r="F4" s="1052"/>
      <c r="G4" s="1052"/>
      <c r="H4" s="1052"/>
    </row>
    <row r="5" spans="1:9" s="12" customFormat="1" ht="15" customHeight="1" x14ac:dyDescent="0.25">
      <c r="D5" s="39" t="s">
        <v>357</v>
      </c>
      <c r="E5" s="908" t="str">
        <f>Index!$D$10</f>
        <v>0A</v>
      </c>
      <c r="F5" s="908"/>
      <c r="G5" s="908"/>
      <c r="H5" s="908"/>
    </row>
    <row r="6" spans="1:9" s="12" customFormat="1" ht="15" customHeight="1" x14ac:dyDescent="0.25">
      <c r="D6" s="39" t="s">
        <v>358</v>
      </c>
      <c r="E6" s="908" t="str">
        <f>Index!$D$11</f>
        <v>NC Housing Finance Agency</v>
      </c>
      <c r="F6" s="908"/>
      <c r="G6" s="908"/>
      <c r="H6" s="908"/>
    </row>
    <row r="7" spans="1:9" s="12" customFormat="1" ht="15" customHeight="1" x14ac:dyDescent="0.25">
      <c r="D7" s="39" t="s">
        <v>359</v>
      </c>
      <c r="E7" s="899"/>
      <c r="F7" s="899"/>
      <c r="G7" s="899"/>
      <c r="H7" s="899"/>
    </row>
    <row r="8" spans="1:9" s="12" customFormat="1" ht="15" customHeight="1" x14ac:dyDescent="0.25">
      <c r="D8" s="237" t="s">
        <v>196</v>
      </c>
      <c r="E8" s="909">
        <f>+Index!$D$15</f>
        <v>0</v>
      </c>
      <c r="F8" s="909"/>
      <c r="G8" s="909"/>
      <c r="H8" s="909"/>
    </row>
    <row r="9" spans="1:9" s="12" customFormat="1" ht="15" customHeight="1" thickBot="1" x14ac:dyDescent="0.3">
      <c r="A9" s="92"/>
      <c r="B9" s="92"/>
      <c r="C9" s="92"/>
      <c r="D9" s="93"/>
      <c r="E9" s="94"/>
      <c r="F9" s="94"/>
      <c r="G9" s="94"/>
      <c r="H9" s="94"/>
    </row>
    <row r="10" spans="1:9" s="12" customFormat="1" ht="6.75" customHeight="1" x14ac:dyDescent="0.25">
      <c r="D10" s="451"/>
      <c r="E10" s="452"/>
      <c r="F10" s="452"/>
      <c r="G10" s="452"/>
      <c r="H10" s="452"/>
    </row>
    <row r="11" spans="1:9" s="12" customFormat="1" ht="15" customHeight="1" x14ac:dyDescent="0.25">
      <c r="A11" s="453" t="s">
        <v>879</v>
      </c>
      <c r="B11" s="454"/>
      <c r="C11" s="454"/>
      <c r="D11" s="455"/>
      <c r="E11" s="456"/>
      <c r="F11" s="456"/>
      <c r="G11" s="457"/>
      <c r="H11" s="452"/>
    </row>
    <row r="12" spans="1:9" s="12" customFormat="1" ht="6.75" customHeight="1" x14ac:dyDescent="0.25">
      <c r="D12" s="451"/>
      <c r="E12" s="452"/>
      <c r="F12" s="452"/>
      <c r="G12" s="452"/>
      <c r="H12" s="452"/>
    </row>
    <row r="13" spans="1:9" s="12" customFormat="1" ht="15" customHeight="1" x14ac:dyDescent="0.25">
      <c r="A13" s="5" t="s">
        <v>877</v>
      </c>
    </row>
    <row r="14" spans="1:9" s="12" customFormat="1" ht="15" customHeight="1" x14ac:dyDescent="0.25">
      <c r="A14" s="12" t="s">
        <v>1070</v>
      </c>
    </row>
    <row r="15" spans="1:9" s="12" customFormat="1" ht="15" customHeight="1" x14ac:dyDescent="0.25">
      <c r="A15" s="12" t="s">
        <v>1071</v>
      </c>
    </row>
    <row r="16" spans="1:9" s="12" customFormat="1" ht="15" customHeight="1" x14ac:dyDescent="0.25">
      <c r="A16" s="5" t="s">
        <v>878</v>
      </c>
    </row>
    <row r="17" spans="1:10" s="12" customFormat="1" ht="15" customHeight="1" x14ac:dyDescent="0.25">
      <c r="A17" s="1" t="s">
        <v>1072</v>
      </c>
    </row>
    <row r="18" spans="1:10" s="12" customFormat="1" ht="15" customHeight="1" x14ac:dyDescent="0.25">
      <c r="A18" s="1" t="s">
        <v>1073</v>
      </c>
    </row>
    <row r="19" spans="1:10" s="12" customFormat="1" ht="15" customHeight="1" x14ac:dyDescent="0.25">
      <c r="A19" s="1"/>
    </row>
    <row r="20" spans="1:10" s="1" customFormat="1" ht="15" customHeight="1" x14ac:dyDescent="0.25">
      <c r="A20" s="523" t="s">
        <v>1074</v>
      </c>
    </row>
    <row r="21" spans="1:10" s="12" customFormat="1" ht="15" customHeight="1" x14ac:dyDescent="0.25">
      <c r="A21" s="12" t="s">
        <v>1075</v>
      </c>
    </row>
    <row r="22" spans="1:10" s="12" customFormat="1" ht="15" customHeight="1" x14ac:dyDescent="0.25">
      <c r="A22" s="12" t="s">
        <v>1076</v>
      </c>
    </row>
    <row r="23" spans="1:10" s="12" customFormat="1" ht="15" customHeight="1" x14ac:dyDescent="0.25">
      <c r="A23" s="12" t="s">
        <v>1077</v>
      </c>
    </row>
    <row r="24" spans="1:10" s="12" customFormat="1" ht="15" customHeight="1" x14ac:dyDescent="0.25">
      <c r="A24" s="1" t="s">
        <v>1079</v>
      </c>
    </row>
    <row r="25" spans="1:10" s="12" customFormat="1" ht="15" customHeight="1" x14ac:dyDescent="0.25">
      <c r="A25" s="1" t="s">
        <v>1078</v>
      </c>
    </row>
    <row r="26" spans="1:10" s="12" customFormat="1" ht="15" customHeight="1" x14ac:dyDescent="0.25"/>
    <row r="27" spans="1:10" s="12" customFormat="1" ht="15" customHeight="1" x14ac:dyDescent="0.25">
      <c r="A27" s="1041" t="s">
        <v>89</v>
      </c>
      <c r="B27" s="1042"/>
      <c r="C27" s="1042"/>
      <c r="D27" s="1042"/>
      <c r="E27" s="1043"/>
      <c r="G27" s="1041" t="s">
        <v>90</v>
      </c>
      <c r="H27" s="1043"/>
    </row>
    <row r="28" spans="1:10" s="12" customFormat="1" ht="16.5" customHeight="1" x14ac:dyDescent="0.25">
      <c r="A28" s="1047" t="s">
        <v>986</v>
      </c>
      <c r="B28" s="1047"/>
      <c r="C28" s="1047"/>
      <c r="D28" s="1047"/>
      <c r="E28" s="1047"/>
      <c r="G28" s="1044"/>
      <c r="H28" s="1045"/>
      <c r="I28" s="1053" t="str">
        <f>IF(ISBLANK($G$28)=TRUE,"Amount Missing"," ")</f>
        <v>Amount Missing</v>
      </c>
      <c r="J28" s="1054"/>
    </row>
    <row r="29" spans="1:10" s="12" customFormat="1" ht="23.25" customHeight="1" x14ac:dyDescent="0.25">
      <c r="A29" s="1047" t="s">
        <v>19</v>
      </c>
      <c r="B29" s="1047"/>
      <c r="C29" s="1047"/>
      <c r="D29" s="1047"/>
      <c r="E29" s="1047"/>
      <c r="G29" s="1046"/>
      <c r="H29" s="1046"/>
    </row>
    <row r="30" spans="1:10" s="12" customFormat="1" ht="15" customHeight="1" x14ac:dyDescent="0.25">
      <c r="A30" s="1049" t="s">
        <v>1080</v>
      </c>
      <c r="B30" s="1049"/>
      <c r="C30" s="1049"/>
      <c r="D30" s="1049"/>
      <c r="E30" s="1049"/>
      <c r="G30" s="1045"/>
      <c r="H30" s="1045"/>
    </row>
    <row r="31" spans="1:10" s="12" customFormat="1" ht="15" customHeight="1" x14ac:dyDescent="0.25">
      <c r="A31" s="983"/>
      <c r="B31" s="983"/>
      <c r="C31" s="983"/>
      <c r="D31" s="983"/>
      <c r="E31" s="983"/>
      <c r="G31" s="1045"/>
      <c r="H31" s="1045"/>
    </row>
    <row r="32" spans="1:10" s="12" customFormat="1" ht="15" customHeight="1" x14ac:dyDescent="0.25">
      <c r="A32" s="987"/>
      <c r="B32" s="987"/>
      <c r="C32" s="987"/>
      <c r="D32" s="987"/>
      <c r="E32" s="987"/>
      <c r="G32" s="1045"/>
      <c r="H32" s="1045"/>
    </row>
    <row r="33" spans="1:8" s="12" customFormat="1" ht="15" customHeight="1" x14ac:dyDescent="0.25">
      <c r="A33" s="983"/>
      <c r="B33" s="983"/>
      <c r="C33" s="983"/>
      <c r="D33" s="983"/>
      <c r="E33" s="983"/>
      <c r="G33" s="1045"/>
      <c r="H33" s="1045"/>
    </row>
    <row r="34" spans="1:8" s="12" customFormat="1" ht="15" customHeight="1" x14ac:dyDescent="0.25">
      <c r="A34" s="1048" t="s">
        <v>91</v>
      </c>
      <c r="B34" s="1048"/>
      <c r="C34" s="1048"/>
      <c r="D34" s="1048"/>
      <c r="E34" s="1048"/>
      <c r="G34" s="1045"/>
      <c r="H34" s="1045"/>
    </row>
    <row r="35" spans="1:8" s="12" customFormat="1" ht="15" customHeight="1" x14ac:dyDescent="0.25">
      <c r="A35" s="983"/>
      <c r="B35" s="983"/>
      <c r="C35" s="983"/>
      <c r="D35" s="983"/>
      <c r="E35" s="983"/>
      <c r="G35" s="1045"/>
      <c r="H35" s="1045"/>
    </row>
    <row r="36" spans="1:8" s="12" customFormat="1" ht="15" customHeight="1" x14ac:dyDescent="0.25">
      <c r="A36" s="983"/>
      <c r="B36" s="983"/>
      <c r="C36" s="983"/>
      <c r="D36" s="983"/>
      <c r="E36" s="983"/>
      <c r="G36" s="1045"/>
      <c r="H36" s="1045"/>
    </row>
    <row r="37" spans="1:8" s="12" customFormat="1" ht="15" customHeight="1" x14ac:dyDescent="0.25">
      <c r="A37" s="983"/>
      <c r="B37" s="983"/>
      <c r="C37" s="983"/>
      <c r="D37" s="983"/>
      <c r="E37" s="983"/>
      <c r="G37" s="1045"/>
      <c r="H37" s="1045"/>
    </row>
    <row r="38" spans="1:8" s="12" customFormat="1" ht="15" customHeight="1" x14ac:dyDescent="0.25">
      <c r="A38" s="983"/>
      <c r="B38" s="983"/>
      <c r="C38" s="983"/>
      <c r="D38" s="983"/>
      <c r="E38" s="983"/>
      <c r="G38" s="1045"/>
      <c r="H38" s="1045"/>
    </row>
    <row r="39" spans="1:8" s="12" customFormat="1" ht="15" customHeight="1" x14ac:dyDescent="0.25">
      <c r="A39" s="95"/>
      <c r="B39" s="95"/>
      <c r="C39" s="95"/>
      <c r="D39" s="95"/>
      <c r="E39" s="95"/>
      <c r="G39" s="96"/>
      <c r="H39" s="96"/>
    </row>
    <row r="40" spans="1:8" s="12" customFormat="1" ht="15" customHeight="1" x14ac:dyDescent="0.25">
      <c r="G40" s="97"/>
      <c r="H40" s="97"/>
    </row>
    <row r="41" spans="1:8" s="12" customFormat="1" ht="15" customHeight="1" x14ac:dyDescent="0.25">
      <c r="G41" s="97"/>
      <c r="H41" s="97"/>
    </row>
    <row r="42" spans="1:8" s="12" customFormat="1" ht="15" customHeight="1" x14ac:dyDescent="0.25">
      <c r="G42" s="1050"/>
      <c r="H42" s="1050"/>
    </row>
    <row r="43" spans="1:8" s="12" customFormat="1" ht="15" customHeight="1" x14ac:dyDescent="0.25"/>
    <row r="44" spans="1:8" s="12" customFormat="1" ht="15" customHeight="1" x14ac:dyDescent="0.25"/>
    <row r="45" spans="1:8" s="12" customFormat="1" ht="15" customHeight="1" x14ac:dyDescent="0.25"/>
    <row r="46" spans="1:8" s="12" customFormat="1" ht="15" customHeight="1" x14ac:dyDescent="0.25"/>
    <row r="47" spans="1:8" s="12" customFormat="1" ht="15" customHeight="1" x14ac:dyDescent="0.25"/>
    <row r="48" spans="1:8" s="12" customFormat="1" ht="15" customHeight="1" x14ac:dyDescent="0.25"/>
    <row r="49" s="12" customFormat="1" ht="15" customHeight="1" x14ac:dyDescent="0.25"/>
    <row r="50" s="12" customFormat="1" ht="15" customHeight="1" x14ac:dyDescent="0.25"/>
    <row r="51" s="12" customFormat="1" ht="15" customHeight="1" x14ac:dyDescent="0.25"/>
    <row r="52" s="12" customFormat="1" ht="15" customHeight="1" x14ac:dyDescent="0.25"/>
    <row r="53" s="12" customFormat="1" ht="15" customHeight="1" x14ac:dyDescent="0.25"/>
  </sheetData>
  <sheetProtection algorithmName="SHA-512" hashValue="5zWZMT09R3HZk5wa7q1TA5P13SE4w1h+/xoj72ZYabBkgUmoZFIMWLb+F6Gw1F/I+HdimNkSgPqQ6amYdtZqVQ==" saltValue="x3+YPkq1Q25yN9abBHa1cA==" spinCount="100000" sheet="1" objects="1" scenarios="1" autoFilter="0"/>
  <mergeCells count="35">
    <mergeCell ref="A36:E36"/>
    <mergeCell ref="G36:H36"/>
    <mergeCell ref="A35:E35"/>
    <mergeCell ref="I1:I3"/>
    <mergeCell ref="A1:H1"/>
    <mergeCell ref="A2:H2"/>
    <mergeCell ref="A3:H3"/>
    <mergeCell ref="A4:H4"/>
    <mergeCell ref="E5:H5"/>
    <mergeCell ref="I28:J28"/>
    <mergeCell ref="G33:H33"/>
    <mergeCell ref="E8:H8"/>
    <mergeCell ref="E6:H6"/>
    <mergeCell ref="E7:H7"/>
    <mergeCell ref="G32:H32"/>
    <mergeCell ref="A28:E28"/>
    <mergeCell ref="G38:H38"/>
    <mergeCell ref="G42:H42"/>
    <mergeCell ref="A37:E37"/>
    <mergeCell ref="A38:E38"/>
    <mergeCell ref="G37:H37"/>
    <mergeCell ref="A27:E27"/>
    <mergeCell ref="G27:H27"/>
    <mergeCell ref="G28:H28"/>
    <mergeCell ref="G35:H35"/>
    <mergeCell ref="G29:H29"/>
    <mergeCell ref="A29:E29"/>
    <mergeCell ref="A34:E34"/>
    <mergeCell ref="G34:H34"/>
    <mergeCell ref="G30:H30"/>
    <mergeCell ref="A31:E31"/>
    <mergeCell ref="A32:E32"/>
    <mergeCell ref="G31:H31"/>
    <mergeCell ref="A33:E33"/>
    <mergeCell ref="A30:E30"/>
  </mergeCells>
  <phoneticPr fontId="12" type="noConversion"/>
  <conditionalFormatting sqref="I1:I3">
    <cfRule type="cellIs" dxfId="5" priority="3" stopIfTrue="1" operator="equal">
      <formula>"na"</formula>
    </cfRule>
  </conditionalFormatting>
  <conditionalFormatting sqref="I28">
    <cfRule type="containsText" dxfId="4" priority="1" stopIfTrue="1" operator="containsText" text="Valuation Missing">
      <formula>NOT(ISERROR(SEARCH("Valuation Missing",I28)))</formula>
    </cfRule>
  </conditionalFormatting>
  <hyperlinks>
    <hyperlink ref="A1:H1" location="Index!A1" display="Index!A1" xr:uid="{00000000-0004-0000-1600-000000000000}"/>
  </hyperlinks>
  <pageMargins left="0.95" right="0.45" top="0.5" bottom="0.5" header="0.3" footer="0.3"/>
  <pageSetup scale="86" orientation="portrait" r:id="rId1"/>
  <headerFooter>
    <oddFooter>&amp;R&amp;A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3">
    <pageSetUpPr fitToPage="1"/>
  </sheetPr>
  <dimension ref="A1:K61"/>
  <sheetViews>
    <sheetView showGridLines="0" zoomScaleNormal="100" workbookViewId="0">
      <selection activeCell="B8" sqref="B8"/>
    </sheetView>
  </sheetViews>
  <sheetFormatPr defaultColWidth="9.109375" defaultRowHeight="13.2" x14ac:dyDescent="0.25"/>
  <cols>
    <col min="1" max="1" width="16.5546875" style="98" customWidth="1"/>
    <col min="2" max="2" width="12.5546875" style="98" customWidth="1"/>
    <col min="3" max="3" width="1.44140625" style="98" customWidth="1"/>
    <col min="4" max="4" width="14.44140625" style="98" customWidth="1"/>
    <col min="5" max="5" width="1.44140625" style="98" customWidth="1"/>
    <col min="6" max="6" width="14.44140625" style="98" customWidth="1"/>
    <col min="7" max="7" width="1.44140625" style="98" customWidth="1"/>
    <col min="8" max="8" width="14.44140625" style="98" customWidth="1"/>
    <col min="9" max="9" width="1.44140625" style="98" customWidth="1"/>
    <col min="10" max="10" width="14.5546875" style="98" customWidth="1"/>
    <col min="11" max="11" width="4.5546875" style="98" customWidth="1"/>
    <col min="12" max="29" width="9.109375" style="98"/>
    <col min="30" max="253" width="16.5546875" style="98" customWidth="1"/>
    <col min="254" max="16384" width="9.109375" style="98"/>
  </cols>
  <sheetData>
    <row r="1" spans="1:11" ht="15" customHeight="1" x14ac:dyDescent="0.3">
      <c r="A1" s="847" t="str">
        <f>Index!$A$1</f>
        <v>Office of the State Controller</v>
      </c>
      <c r="B1" s="847"/>
      <c r="C1" s="847"/>
      <c r="D1" s="847"/>
      <c r="E1" s="847"/>
      <c r="F1" s="847"/>
      <c r="G1" s="847"/>
      <c r="H1" s="847"/>
      <c r="I1" s="847"/>
      <c r="J1" s="847"/>
      <c r="K1" s="1051" t="str">
        <f>IF(Index!$B$64="na","NA","")</f>
        <v/>
      </c>
    </row>
    <row r="2" spans="1:11" ht="15" customHeight="1" x14ac:dyDescent="0.3">
      <c r="A2" s="1062" t="str">
        <f>Index!$A$2</f>
        <v>2022 ACFR Worksheets for Nonmajor Component Units</v>
      </c>
      <c r="B2" s="1062"/>
      <c r="C2" s="1062"/>
      <c r="D2" s="1062"/>
      <c r="E2" s="1062"/>
      <c r="F2" s="1062"/>
      <c r="G2" s="1062"/>
      <c r="H2" s="1062"/>
      <c r="I2" s="1062"/>
      <c r="J2" s="1062"/>
      <c r="K2" s="1051"/>
    </row>
    <row r="3" spans="1:11" ht="15" customHeight="1" x14ac:dyDescent="0.3">
      <c r="A3" s="1062" t="s">
        <v>672</v>
      </c>
      <c r="B3" s="1062"/>
      <c r="C3" s="1062"/>
      <c r="D3" s="1062"/>
      <c r="E3" s="1062"/>
      <c r="F3" s="1062"/>
      <c r="G3" s="1062"/>
      <c r="H3" s="1062"/>
      <c r="I3" s="1062"/>
      <c r="J3" s="1062"/>
      <c r="K3" s="1051"/>
    </row>
    <row r="4" spans="1:11" ht="15" customHeight="1" x14ac:dyDescent="0.3">
      <c r="A4" s="99"/>
      <c r="B4" s="100"/>
      <c r="C4" s="100"/>
      <c r="D4" s="100"/>
      <c r="E4" s="100"/>
      <c r="F4" s="100"/>
      <c r="G4" s="100"/>
      <c r="H4" s="100"/>
      <c r="I4" s="100"/>
      <c r="J4" s="100"/>
    </row>
    <row r="5" spans="1:11" ht="15" customHeight="1" x14ac:dyDescent="0.25">
      <c r="B5" s="233"/>
      <c r="C5" s="235"/>
      <c r="F5" s="39" t="s">
        <v>357</v>
      </c>
      <c r="G5" s="908" t="str">
        <f>Index!$D$10</f>
        <v>0A</v>
      </c>
      <c r="H5" s="908"/>
      <c r="I5" s="908"/>
      <c r="J5" s="908"/>
    </row>
    <row r="6" spans="1:11" ht="15" customHeight="1" x14ac:dyDescent="0.25">
      <c r="B6" s="234"/>
      <c r="C6" s="234"/>
      <c r="D6" s="234"/>
      <c r="E6" s="234"/>
      <c r="F6" s="39" t="s">
        <v>358</v>
      </c>
      <c r="G6" s="995" t="str">
        <f>Index!$D$11</f>
        <v>NC Housing Finance Agency</v>
      </c>
      <c r="H6" s="995"/>
      <c r="I6" s="995"/>
      <c r="J6" s="995"/>
    </row>
    <row r="7" spans="1:11" s="101" customFormat="1" ht="15" customHeight="1" x14ac:dyDescent="0.25">
      <c r="B7" s="239" t="s">
        <v>19</v>
      </c>
      <c r="F7" s="39" t="s">
        <v>359</v>
      </c>
      <c r="G7" s="899" t="str">
        <f>CONCATENATE(Index!$D$14,"  ",Index!$D$16)</f>
        <v xml:space="preserve">  </v>
      </c>
      <c r="H7" s="899"/>
      <c r="I7" s="899"/>
      <c r="J7" s="899"/>
    </row>
    <row r="8" spans="1:11" s="101" customFormat="1" ht="15" customHeight="1" x14ac:dyDescent="0.25">
      <c r="B8" s="239"/>
      <c r="F8" s="237" t="s">
        <v>196</v>
      </c>
      <c r="G8" s="909">
        <f>+Index!$D$15</f>
        <v>0</v>
      </c>
      <c r="H8" s="909"/>
      <c r="I8" s="909"/>
      <c r="J8" s="909"/>
    </row>
    <row r="9" spans="1:11" s="101" customFormat="1" ht="12" customHeight="1" thickBot="1" x14ac:dyDescent="0.25">
      <c r="A9" s="111"/>
      <c r="B9" s="111"/>
      <c r="C9" s="111"/>
      <c r="D9" s="112"/>
      <c r="E9" s="111"/>
      <c r="F9" s="112"/>
      <c r="G9" s="111"/>
      <c r="H9" s="112"/>
      <c r="I9" s="111"/>
      <c r="J9" s="112"/>
    </row>
    <row r="10" spans="1:11" s="101" customFormat="1" ht="15" customHeight="1" x14ac:dyDescent="0.25">
      <c r="A10" s="102"/>
      <c r="B10" s="103"/>
      <c r="C10" s="103"/>
      <c r="D10" s="103"/>
      <c r="E10" s="103"/>
      <c r="F10" s="103"/>
      <c r="G10" s="103"/>
      <c r="H10" s="103"/>
      <c r="I10" s="103"/>
      <c r="J10" s="103"/>
    </row>
    <row r="11" spans="1:11" s="103" customFormat="1" ht="12.75" customHeight="1" x14ac:dyDescent="0.25">
      <c r="A11" s="102"/>
      <c r="D11" s="104"/>
      <c r="H11" s="104"/>
      <c r="I11" s="102"/>
    </row>
    <row r="12" spans="1:11" s="103" customFormat="1" ht="15" customHeight="1" x14ac:dyDescent="0.25">
      <c r="A12" s="105" t="s">
        <v>365</v>
      </c>
      <c r="D12" s="104"/>
      <c r="H12" s="104"/>
      <c r="I12" s="102"/>
    </row>
    <row r="13" spans="1:11" s="103" customFormat="1" ht="12.75" customHeight="1" x14ac:dyDescent="0.25">
      <c r="A13" s="102"/>
      <c r="D13" s="104"/>
      <c r="H13" s="104"/>
      <c r="I13" s="102"/>
    </row>
    <row r="14" spans="1:11" s="103" customFormat="1" ht="15" customHeight="1" x14ac:dyDescent="0.25">
      <c r="A14" s="103" t="s">
        <v>92</v>
      </c>
      <c r="D14" s="106"/>
      <c r="H14" s="106"/>
    </row>
    <row r="15" spans="1:11" s="103" customFormat="1" ht="15" customHeight="1" x14ac:dyDescent="0.25">
      <c r="A15" s="98" t="s">
        <v>1063</v>
      </c>
      <c r="D15" s="106"/>
      <c r="H15" s="106"/>
    </row>
    <row r="16" spans="1:11" s="103" customFormat="1" ht="15" customHeight="1" x14ac:dyDescent="0.25">
      <c r="A16" s="102"/>
    </row>
    <row r="17" spans="1:10" s="103" customFormat="1" ht="8.1" customHeight="1" x14ac:dyDescent="0.25"/>
    <row r="18" spans="1:10" s="101" customFormat="1" ht="15" customHeight="1" x14ac:dyDescent="0.2">
      <c r="A18" s="107"/>
      <c r="B18" s="107"/>
      <c r="C18" s="107"/>
      <c r="D18" s="1059" t="s">
        <v>93</v>
      </c>
      <c r="E18" s="1060"/>
      <c r="F18" s="1060"/>
      <c r="G18" s="1060"/>
      <c r="H18" s="1060"/>
      <c r="I18" s="1060"/>
      <c r="J18" s="1061"/>
    </row>
    <row r="19" spans="1:10" s="101" customFormat="1" ht="15" customHeight="1" x14ac:dyDescent="0.2">
      <c r="A19" s="107"/>
      <c r="B19" s="107"/>
      <c r="C19" s="107"/>
      <c r="D19" s="1055"/>
      <c r="E19" s="107"/>
      <c r="F19" s="1055"/>
      <c r="G19" s="107"/>
      <c r="H19" s="1055"/>
      <c r="I19" s="107"/>
      <c r="J19" s="1055"/>
    </row>
    <row r="20" spans="1:10" s="101" customFormat="1" ht="15" customHeight="1" x14ac:dyDescent="0.2">
      <c r="A20" s="107"/>
      <c r="B20" s="107"/>
      <c r="C20" s="107"/>
      <c r="D20" s="1056"/>
      <c r="E20" s="107"/>
      <c r="F20" s="1056"/>
      <c r="G20" s="107"/>
      <c r="H20" s="1056"/>
      <c r="I20" s="107"/>
      <c r="J20" s="1056"/>
    </row>
    <row r="21" spans="1:10" s="101" customFormat="1" ht="15" customHeight="1" x14ac:dyDescent="0.2">
      <c r="A21" s="107"/>
      <c r="B21" s="107"/>
      <c r="C21" s="107"/>
      <c r="D21" s="1056"/>
      <c r="E21" s="107"/>
      <c r="F21" s="1056"/>
      <c r="G21" s="107"/>
      <c r="H21" s="1056"/>
      <c r="I21" s="107"/>
      <c r="J21" s="1056"/>
    </row>
    <row r="22" spans="1:10" s="101" customFormat="1" ht="15" customHeight="1" x14ac:dyDescent="0.2">
      <c r="A22" s="107"/>
      <c r="B22" s="107"/>
      <c r="C22" s="107"/>
      <c r="D22" s="1057"/>
      <c r="E22" s="107"/>
      <c r="F22" s="1057"/>
      <c r="G22" s="107"/>
      <c r="H22" s="1057"/>
      <c r="I22" s="107"/>
      <c r="J22" s="1057"/>
    </row>
    <row r="23" spans="1:10" s="101" customFormat="1" ht="15" customHeight="1" x14ac:dyDescent="0.25">
      <c r="A23" s="107" t="s">
        <v>94</v>
      </c>
      <c r="B23" s="107"/>
      <c r="C23" s="107"/>
      <c r="D23" s="108"/>
      <c r="E23" s="107"/>
      <c r="F23" s="108"/>
      <c r="G23" s="107"/>
      <c r="H23" s="108"/>
      <c r="I23" s="107"/>
      <c r="J23" s="108"/>
    </row>
    <row r="24" spans="1:10" s="101" customFormat="1" ht="15" customHeight="1" x14ac:dyDescent="0.25">
      <c r="A24" s="107" t="s">
        <v>95</v>
      </c>
      <c r="B24" s="107"/>
      <c r="C24" s="107"/>
      <c r="D24" s="108"/>
      <c r="E24" s="107"/>
      <c r="F24" s="108"/>
      <c r="G24" s="107"/>
      <c r="H24" s="108"/>
      <c r="I24" s="107"/>
      <c r="J24" s="108"/>
    </row>
    <row r="25" spans="1:10" s="101" customFormat="1" ht="15" customHeight="1" x14ac:dyDescent="0.25">
      <c r="A25" s="107" t="s">
        <v>96</v>
      </c>
      <c r="B25" s="107"/>
      <c r="C25" s="107"/>
      <c r="D25" s="108"/>
      <c r="E25" s="107"/>
      <c r="F25" s="108"/>
      <c r="G25" s="107"/>
      <c r="H25" s="108"/>
      <c r="I25" s="107"/>
      <c r="J25" s="108"/>
    </row>
    <row r="26" spans="1:10" s="101" customFormat="1" ht="15" customHeight="1" x14ac:dyDescent="0.25">
      <c r="A26" s="107" t="s">
        <v>97</v>
      </c>
      <c r="B26" s="107"/>
      <c r="C26" s="107"/>
      <c r="D26" s="108"/>
      <c r="E26" s="107"/>
      <c r="F26" s="108"/>
      <c r="G26" s="107"/>
      <c r="H26" s="108"/>
      <c r="I26" s="107"/>
      <c r="J26" s="108"/>
    </row>
    <row r="27" spans="1:10" s="101" customFormat="1" ht="15" customHeight="1" x14ac:dyDescent="0.25">
      <c r="A27" s="107" t="s">
        <v>98</v>
      </c>
      <c r="B27" s="107"/>
      <c r="C27" s="107"/>
      <c r="D27" s="108"/>
      <c r="E27" s="107"/>
      <c r="F27" s="108"/>
      <c r="G27" s="107"/>
      <c r="H27" s="108"/>
      <c r="I27" s="107"/>
      <c r="J27" s="108"/>
    </row>
    <row r="28" spans="1:10" s="101" customFormat="1" ht="15" customHeight="1" x14ac:dyDescent="0.2">
      <c r="A28" s="107" t="s">
        <v>99</v>
      </c>
      <c r="B28" s="107"/>
      <c r="C28" s="107"/>
      <c r="D28" s="369"/>
      <c r="E28" s="109"/>
      <c r="F28" s="369"/>
      <c r="G28" s="109"/>
      <c r="H28" s="369"/>
      <c r="I28" s="109"/>
      <c r="J28" s="369"/>
    </row>
    <row r="29" spans="1:10" s="101" customFormat="1" ht="15" customHeight="1" x14ac:dyDescent="0.2">
      <c r="A29" s="107" t="s">
        <v>100</v>
      </c>
      <c r="B29" s="107"/>
      <c r="C29" s="107"/>
      <c r="D29" s="107"/>
      <c r="E29" s="107"/>
      <c r="F29" s="107"/>
      <c r="G29" s="107"/>
      <c r="H29" s="107"/>
      <c r="I29" s="107"/>
      <c r="J29" s="107"/>
    </row>
    <row r="30" spans="1:10" s="101" customFormat="1" ht="15" customHeight="1" x14ac:dyDescent="0.2">
      <c r="A30" s="107" t="s">
        <v>101</v>
      </c>
      <c r="B30" s="107"/>
      <c r="C30" s="107"/>
      <c r="D30" s="494"/>
      <c r="E30" s="109"/>
      <c r="F30" s="494"/>
      <c r="G30" s="109"/>
      <c r="H30" s="494"/>
      <c r="I30" s="109"/>
      <c r="J30" s="494"/>
    </row>
    <row r="31" spans="1:10" s="101" customFormat="1" ht="15" customHeight="1" x14ac:dyDescent="0.2">
      <c r="A31" s="107"/>
      <c r="B31" s="107"/>
      <c r="C31" s="107"/>
      <c r="D31" s="110"/>
      <c r="E31" s="109"/>
      <c r="F31" s="110"/>
      <c r="G31" s="109"/>
      <c r="H31" s="110"/>
      <c r="I31" s="109"/>
      <c r="J31" s="110"/>
    </row>
    <row r="32" spans="1:10" s="101" customFormat="1" ht="15" customHeight="1" x14ac:dyDescent="0.2">
      <c r="A32" s="107"/>
      <c r="B32" s="107"/>
      <c r="C32" s="107"/>
      <c r="D32" s="109"/>
      <c r="E32" s="107"/>
      <c r="F32" s="109"/>
      <c r="G32" s="107"/>
      <c r="H32" s="109"/>
      <c r="I32" s="107"/>
      <c r="J32" s="109"/>
    </row>
    <row r="33" spans="1:11" s="101" customFormat="1" ht="3.9" customHeight="1" x14ac:dyDescent="0.25">
      <c r="A33" s="1058"/>
      <c r="B33" s="1058"/>
      <c r="C33" s="103"/>
      <c r="D33" s="103"/>
      <c r="E33" s="103"/>
      <c r="F33" s="103"/>
      <c r="G33" s="103"/>
      <c r="H33" s="103"/>
      <c r="I33" s="103"/>
      <c r="J33" s="103"/>
      <c r="K33" s="103"/>
    </row>
    <row r="34" spans="1:11" s="103" customFormat="1" ht="9.9" customHeight="1" x14ac:dyDescent="0.25">
      <c r="A34" s="102"/>
      <c r="D34" s="106"/>
      <c r="H34" s="106"/>
    </row>
    <row r="35" spans="1:11" s="103" customFormat="1" x14ac:dyDescent="0.25"/>
    <row r="36" spans="1:11" s="103" customFormat="1" x14ac:dyDescent="0.25"/>
    <row r="37" spans="1:11" s="113" customFormat="1" ht="11.4" x14ac:dyDescent="0.2"/>
    <row r="38" spans="1:11" s="113" customFormat="1" ht="11.4" x14ac:dyDescent="0.2"/>
    <row r="39" spans="1:11" s="113" customFormat="1" ht="11.4" x14ac:dyDescent="0.2"/>
    <row r="40" spans="1:11" s="113" customFormat="1" ht="11.4" x14ac:dyDescent="0.2"/>
    <row r="41" spans="1:11" s="113" customFormat="1" ht="11.4" x14ac:dyDescent="0.2"/>
    <row r="42" spans="1:11" s="113" customFormat="1" ht="11.4" x14ac:dyDescent="0.2"/>
    <row r="43" spans="1:11" s="113" customFormat="1" ht="11.4" x14ac:dyDescent="0.2"/>
    <row r="44" spans="1:11" s="113" customFormat="1" ht="11.4" x14ac:dyDescent="0.2"/>
    <row r="45" spans="1:11" s="113" customFormat="1" ht="11.4" x14ac:dyDescent="0.2"/>
    <row r="46" spans="1:11" s="113" customFormat="1" ht="11.4" x14ac:dyDescent="0.2"/>
    <row r="47" spans="1:11" s="113" customFormat="1" ht="11.4" x14ac:dyDescent="0.2"/>
    <row r="48" spans="1:11" s="113" customFormat="1" ht="11.4" x14ac:dyDescent="0.2"/>
    <row r="49" s="113" customFormat="1" ht="11.4" x14ac:dyDescent="0.2"/>
    <row r="50" s="113" customFormat="1" ht="11.4" x14ac:dyDescent="0.2"/>
    <row r="51" s="113" customFormat="1" ht="11.4" x14ac:dyDescent="0.2"/>
    <row r="52" s="113" customFormat="1" ht="11.4" x14ac:dyDescent="0.2"/>
    <row r="53" s="113" customFormat="1" ht="11.4" x14ac:dyDescent="0.2"/>
    <row r="54" s="113" customFormat="1" ht="11.4" x14ac:dyDescent="0.2"/>
    <row r="55" s="113" customFormat="1" ht="11.4" x14ac:dyDescent="0.2"/>
    <row r="56" s="113" customFormat="1" ht="11.4" x14ac:dyDescent="0.2"/>
    <row r="57" s="113" customFormat="1" ht="11.4" x14ac:dyDescent="0.2"/>
    <row r="58" s="113" customFormat="1" ht="11.4" x14ac:dyDescent="0.2"/>
    <row r="59" s="113" customFormat="1" ht="11.4" x14ac:dyDescent="0.2"/>
    <row r="60" s="113" customFormat="1" ht="11.4" x14ac:dyDescent="0.2"/>
    <row r="61" s="113" customFormat="1" ht="11.4" x14ac:dyDescent="0.2"/>
  </sheetData>
  <sheetProtection algorithmName="SHA-512" hashValue="1ElKx2v5VdRRn0DGLHxtYZCU8gWe5qfhONUrs+/L0DjRqam0/8ILrFF5hdxoycan16DwmtksuopAHOAHcl2xCA==" saltValue="xju2Qi4ghofI3L1WyKkdeg==" spinCount="100000" sheet="1" objects="1" scenarios="1" autoFilter="0"/>
  <mergeCells count="14">
    <mergeCell ref="D19:D22"/>
    <mergeCell ref="A33:B33"/>
    <mergeCell ref="K1:K3"/>
    <mergeCell ref="D18:J18"/>
    <mergeCell ref="A1:J1"/>
    <mergeCell ref="A2:J2"/>
    <mergeCell ref="A3:J3"/>
    <mergeCell ref="G5:J5"/>
    <mergeCell ref="G6:J6"/>
    <mergeCell ref="G7:J7"/>
    <mergeCell ref="G8:J8"/>
    <mergeCell ref="F19:F22"/>
    <mergeCell ref="H19:H22"/>
    <mergeCell ref="J19:J22"/>
  </mergeCells>
  <phoneticPr fontId="12" type="noConversion"/>
  <conditionalFormatting sqref="K1:K3">
    <cfRule type="cellIs" dxfId="3" priority="1" stopIfTrue="1" operator="equal">
      <formula>"na"</formula>
    </cfRule>
  </conditionalFormatting>
  <hyperlinks>
    <hyperlink ref="A1" location="Index!A1" display="Index!A1" xr:uid="{00000000-0004-0000-1500-000000000000}"/>
  </hyperlinks>
  <pageMargins left="0.95" right="0.45" top="0.5" bottom="0.5" header="0.3" footer="0.3"/>
  <pageSetup scale="94" orientation="portrait" r:id="rId1"/>
  <headerFooter>
    <oddFooter>&amp;R&amp;A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1">
    <pageSetUpPr fitToPage="1"/>
  </sheetPr>
  <dimension ref="A1:W58"/>
  <sheetViews>
    <sheetView showGridLines="0" topLeftCell="B1" zoomScale="95" zoomScaleNormal="95" workbookViewId="0">
      <selection activeCell="Y14" sqref="Y14"/>
    </sheetView>
  </sheetViews>
  <sheetFormatPr defaultColWidth="16.5546875" defaultRowHeight="13.2" x14ac:dyDescent="0.25"/>
  <cols>
    <col min="1" max="1" width="0" style="293" hidden="1" customWidth="1"/>
    <col min="2" max="2" width="25.44140625" style="293" customWidth="1"/>
    <col min="3" max="3" width="0.88671875" style="293" customWidth="1"/>
    <col min="4" max="4" width="15.109375" style="293" bestFit="1" customWidth="1"/>
    <col min="5" max="5" width="0.88671875" style="293" customWidth="1"/>
    <col min="6" max="6" width="15.109375" style="293" bestFit="1" customWidth="1"/>
    <col min="7" max="7" width="0.88671875" style="293" customWidth="1"/>
    <col min="8" max="8" width="15.109375" style="293" bestFit="1" customWidth="1"/>
    <col min="9" max="9" width="0.88671875" style="293" customWidth="1"/>
    <col min="10" max="10" width="10.5546875" style="293" bestFit="1" customWidth="1"/>
    <col min="11" max="11" width="0.88671875" style="293" customWidth="1"/>
    <col min="12" max="12" width="9" style="293" customWidth="1"/>
    <col min="13" max="13" width="1.88671875" style="293" customWidth="1"/>
    <col min="14" max="14" width="5.88671875" style="293" customWidth="1"/>
    <col min="15" max="15" width="1.5546875" style="293" customWidth="1"/>
    <col min="16" max="16" width="9.88671875" style="293" customWidth="1"/>
    <col min="17" max="17" width="1.5546875" style="293" customWidth="1"/>
    <col min="18" max="18" width="5.44140625" style="293" customWidth="1"/>
    <col min="19" max="21" width="1.5546875" style="293" customWidth="1"/>
    <col min="22" max="22" width="2.109375" style="293" customWidth="1"/>
    <col min="23" max="23" width="3.5546875" style="293" customWidth="1"/>
    <col min="24" max="16384" width="16.5546875" style="293"/>
  </cols>
  <sheetData>
    <row r="1" spans="2:23" s="275" customFormat="1" ht="25.2" customHeight="1" x14ac:dyDescent="0.3">
      <c r="B1" s="854" t="str">
        <f>+Index!$A$1</f>
        <v>Office of the State Controller</v>
      </c>
      <c r="C1" s="854"/>
      <c r="D1" s="854"/>
      <c r="E1" s="854"/>
      <c r="F1" s="854"/>
      <c r="G1" s="854"/>
      <c r="H1" s="854"/>
      <c r="I1" s="854"/>
      <c r="J1" s="854"/>
      <c r="K1" s="854"/>
      <c r="L1" s="854"/>
      <c r="M1" s="854"/>
      <c r="N1" s="854"/>
      <c r="O1" s="854"/>
      <c r="P1" s="854"/>
      <c r="Q1" s="854"/>
      <c r="R1" s="854"/>
      <c r="S1" s="854"/>
      <c r="T1" s="854"/>
      <c r="U1" s="854"/>
      <c r="V1" s="854"/>
      <c r="W1" s="806" t="str">
        <f>IF(Index!$B$65="na","NA","")</f>
        <v/>
      </c>
    </row>
    <row r="2" spans="2:23" s="275" customFormat="1" ht="15" customHeight="1" x14ac:dyDescent="0.3">
      <c r="B2" s="1063" t="str">
        <f>+Index!$A$2</f>
        <v>2022 ACFR Worksheets for Nonmajor Component Units</v>
      </c>
      <c r="C2" s="1063"/>
      <c r="D2" s="1063"/>
      <c r="E2" s="1063"/>
      <c r="F2" s="1063"/>
      <c r="G2" s="1063"/>
      <c r="H2" s="1063"/>
      <c r="I2" s="1063"/>
      <c r="J2" s="1063"/>
      <c r="K2" s="1063"/>
      <c r="L2" s="1063"/>
      <c r="M2" s="1063"/>
      <c r="N2" s="1063"/>
      <c r="O2" s="1063"/>
      <c r="P2" s="1063"/>
      <c r="Q2" s="1063"/>
      <c r="R2" s="1063"/>
      <c r="S2" s="1063"/>
      <c r="T2" s="1063"/>
      <c r="U2" s="1063"/>
      <c r="V2" s="1063"/>
      <c r="W2" s="806"/>
    </row>
    <row r="3" spans="2:23" s="275" customFormat="1" ht="15" customHeight="1" x14ac:dyDescent="0.3">
      <c r="B3" s="1066" t="s">
        <v>673</v>
      </c>
      <c r="C3" s="1066"/>
      <c r="D3" s="1066"/>
      <c r="E3" s="1066"/>
      <c r="F3" s="1066"/>
      <c r="G3" s="1066"/>
      <c r="H3" s="1066"/>
      <c r="I3" s="1066"/>
      <c r="J3" s="1066"/>
      <c r="K3" s="1066"/>
      <c r="L3" s="1066"/>
      <c r="M3" s="1066"/>
      <c r="N3" s="1066"/>
      <c r="O3" s="1066"/>
      <c r="P3" s="1066"/>
      <c r="Q3" s="1066"/>
      <c r="R3" s="1066"/>
      <c r="S3" s="1066"/>
      <c r="T3" s="1066"/>
      <c r="U3" s="1066"/>
      <c r="V3" s="1066"/>
      <c r="W3" s="806"/>
    </row>
    <row r="4" spans="2:23" s="277" customFormat="1" ht="9.75" customHeight="1" x14ac:dyDescent="0.25">
      <c r="B4" s="276"/>
      <c r="C4" s="276"/>
      <c r="D4" s="276"/>
      <c r="E4" s="276"/>
      <c r="F4" s="276"/>
      <c r="G4" s="276"/>
      <c r="H4" s="276"/>
      <c r="I4" s="276"/>
      <c r="J4" s="276"/>
      <c r="K4" s="276"/>
      <c r="L4" s="276"/>
      <c r="M4" s="276"/>
      <c r="N4" s="276"/>
      <c r="O4" s="276"/>
      <c r="P4" s="276"/>
      <c r="Q4" s="276"/>
      <c r="R4" s="276"/>
      <c r="S4" s="276"/>
      <c r="T4" s="276"/>
      <c r="U4" s="276"/>
    </row>
    <row r="5" spans="2:23" s="277" customFormat="1" ht="15" customHeight="1" x14ac:dyDescent="0.25">
      <c r="B5" s="278" t="s">
        <v>357</v>
      </c>
      <c r="C5" s="898" t="str">
        <f>Index!$D$10</f>
        <v>0A</v>
      </c>
      <c r="D5" s="898"/>
      <c r="E5" s="898"/>
      <c r="F5" s="898"/>
      <c r="G5" s="297"/>
      <c r="N5" s="279" t="s">
        <v>358</v>
      </c>
      <c r="O5" s="1068" t="str">
        <f>Index!$D$11</f>
        <v>NC Housing Finance Agency</v>
      </c>
      <c r="P5" s="1068"/>
      <c r="Q5" s="1068"/>
      <c r="R5" s="1068"/>
      <c r="S5" s="1068"/>
      <c r="T5" s="1068"/>
      <c r="U5" s="1068"/>
      <c r="V5" s="1068"/>
    </row>
    <row r="6" spans="2:23" s="277" customFormat="1" ht="15" customHeight="1" x14ac:dyDescent="0.25">
      <c r="B6" s="278" t="s">
        <v>20</v>
      </c>
      <c r="C6" s="1064">
        <f>Index!D13</f>
        <v>2611</v>
      </c>
      <c r="D6" s="1064"/>
      <c r="E6" s="1064"/>
      <c r="F6" s="1064"/>
      <c r="N6" s="279" t="s">
        <v>359</v>
      </c>
      <c r="O6" s="899" t="str">
        <f>CONCATENATE(Index!$D$14," ",Index!$D$16)</f>
        <v xml:space="preserve"> </v>
      </c>
      <c r="P6" s="899"/>
      <c r="Q6" s="899"/>
      <c r="R6" s="899"/>
      <c r="S6" s="899"/>
      <c r="T6" s="899"/>
      <c r="U6" s="899"/>
      <c r="V6" s="899"/>
    </row>
    <row r="7" spans="2:23" s="277" customFormat="1" ht="15" customHeight="1" x14ac:dyDescent="0.25">
      <c r="B7" s="278" t="s">
        <v>102</v>
      </c>
      <c r="C7" s="1069" t="str">
        <f>Index!D11</f>
        <v>NC Housing Finance Agency</v>
      </c>
      <c r="D7" s="1069"/>
      <c r="E7" s="1069"/>
      <c r="F7" s="1069"/>
      <c r="G7" s="1069"/>
      <c r="N7" s="279" t="s">
        <v>196</v>
      </c>
      <c r="O7" s="899">
        <f>+Index!$D$15</f>
        <v>0</v>
      </c>
      <c r="P7" s="899"/>
      <c r="Q7" s="899"/>
      <c r="R7" s="899"/>
      <c r="S7" s="899"/>
      <c r="T7" s="899"/>
      <c r="U7" s="899"/>
      <c r="V7" s="899"/>
    </row>
    <row r="8" spans="2:23" s="277" customFormat="1" ht="9" customHeight="1" thickBot="1" x14ac:dyDescent="0.3">
      <c r="B8" s="280"/>
      <c r="C8" s="281"/>
      <c r="D8" s="281"/>
      <c r="E8" s="281"/>
      <c r="F8" s="281"/>
      <c r="G8" s="281"/>
      <c r="H8" s="282"/>
      <c r="I8" s="282"/>
      <c r="J8" s="282"/>
      <c r="K8" s="282"/>
      <c r="L8" s="282"/>
      <c r="M8" s="282"/>
      <c r="N8" s="282"/>
      <c r="O8" s="282"/>
      <c r="P8" s="282"/>
      <c r="Q8" s="282"/>
      <c r="R8" s="282"/>
      <c r="S8" s="282"/>
      <c r="T8" s="282"/>
      <c r="U8" s="282"/>
      <c r="V8" s="282"/>
    </row>
    <row r="9" spans="2:23" s="277" customFormat="1" ht="15" customHeight="1" x14ac:dyDescent="0.25"/>
    <row r="10" spans="2:23" s="277" customFormat="1" ht="15" customHeight="1" x14ac:dyDescent="0.25"/>
    <row r="11" spans="2:23" s="277" customFormat="1" ht="15" customHeight="1" x14ac:dyDescent="0.25"/>
    <row r="12" spans="2:23" s="277" customFormat="1" ht="15" customHeight="1" x14ac:dyDescent="0.25"/>
    <row r="13" spans="2:23" s="277" customFormat="1" ht="15" customHeight="1" x14ac:dyDescent="0.25"/>
    <row r="14" spans="2:23" s="277" customFormat="1" ht="42.75" customHeight="1" x14ac:dyDescent="0.25"/>
    <row r="15" spans="2:23" s="277" customFormat="1" ht="27" customHeight="1" x14ac:dyDescent="0.25">
      <c r="B15" s="283" t="s">
        <v>103</v>
      </c>
      <c r="C15" s="284"/>
      <c r="D15" s="283" t="s">
        <v>104</v>
      </c>
      <c r="E15" s="284"/>
      <c r="F15" s="1067" t="s">
        <v>105</v>
      </c>
      <c r="G15" s="1067"/>
      <c r="H15" s="1067"/>
      <c r="I15" s="1067"/>
      <c r="J15" s="1067"/>
      <c r="K15" s="1067"/>
      <c r="L15" s="1067"/>
      <c r="M15" s="1067"/>
      <c r="N15" s="1067"/>
      <c r="O15" s="1067"/>
      <c r="P15" s="1067"/>
      <c r="Q15" s="1067"/>
      <c r="R15" s="1067"/>
      <c r="S15" s="1067"/>
      <c r="T15" s="1067"/>
      <c r="U15" s="1067"/>
      <c r="V15" s="1067"/>
    </row>
    <row r="16" spans="2:23" s="277" customFormat="1" ht="22.95" customHeight="1" x14ac:dyDescent="0.25">
      <c r="B16" s="643"/>
      <c r="C16" s="392"/>
      <c r="D16" s="286"/>
      <c r="E16" s="641"/>
      <c r="F16" s="1065"/>
      <c r="G16" s="1065"/>
      <c r="H16" s="1065"/>
      <c r="I16" s="1065"/>
      <c r="J16" s="1065"/>
      <c r="K16" s="1065"/>
      <c r="L16" s="1065"/>
      <c r="M16" s="1065"/>
      <c r="N16" s="1065"/>
      <c r="O16" s="1065"/>
      <c r="P16" s="1065"/>
      <c r="Q16" s="1065"/>
      <c r="R16" s="1065"/>
      <c r="S16" s="1065"/>
      <c r="T16" s="1065"/>
      <c r="U16" s="1065"/>
      <c r="V16" s="1065"/>
    </row>
    <row r="17" spans="1:22" s="277" customFormat="1" ht="22.95" customHeight="1" x14ac:dyDescent="0.25">
      <c r="B17" s="643"/>
      <c r="C17" s="642"/>
      <c r="D17" s="286"/>
      <c r="E17" s="644"/>
      <c r="F17" s="1065"/>
      <c r="G17" s="1065"/>
      <c r="H17" s="1065"/>
      <c r="I17" s="1065"/>
      <c r="J17" s="1065"/>
      <c r="K17" s="1065"/>
      <c r="L17" s="1065"/>
      <c r="M17" s="1065"/>
      <c r="N17" s="1065"/>
      <c r="O17" s="1065"/>
      <c r="P17" s="1065"/>
      <c r="Q17" s="1065"/>
      <c r="R17" s="1065"/>
      <c r="S17" s="1065"/>
      <c r="T17" s="1065"/>
      <c r="U17" s="1065"/>
      <c r="V17" s="1065"/>
    </row>
    <row r="18" spans="1:22" s="277" customFormat="1" ht="23.25" customHeight="1" x14ac:dyDescent="0.25">
      <c r="B18" s="643"/>
      <c r="C18" s="392"/>
      <c r="D18" s="286"/>
      <c r="E18" s="641"/>
      <c r="F18" s="1065"/>
      <c r="G18" s="1065"/>
      <c r="H18" s="1065"/>
      <c r="I18" s="1065"/>
      <c r="J18" s="1065"/>
      <c r="K18" s="1065"/>
      <c r="L18" s="1065"/>
      <c r="M18" s="1065"/>
      <c r="N18" s="1065"/>
      <c r="O18" s="1065"/>
      <c r="P18" s="1065"/>
      <c r="Q18" s="1065"/>
      <c r="R18" s="1065"/>
      <c r="S18" s="1065"/>
      <c r="T18" s="1065"/>
      <c r="U18" s="1065"/>
      <c r="V18" s="1065"/>
    </row>
    <row r="19" spans="1:22" s="277" customFormat="1" ht="23.25" customHeight="1" x14ac:dyDescent="0.25">
      <c r="B19" s="285"/>
      <c r="C19" s="392"/>
      <c r="D19" s="286"/>
      <c r="E19" s="641"/>
      <c r="F19" s="1065"/>
      <c r="G19" s="1065"/>
      <c r="H19" s="1065"/>
      <c r="I19" s="1065"/>
      <c r="J19" s="1065"/>
      <c r="K19" s="1065"/>
      <c r="L19" s="1065"/>
      <c r="M19" s="1065"/>
      <c r="N19" s="1065"/>
      <c r="O19" s="1065"/>
      <c r="P19" s="1065"/>
      <c r="Q19" s="1065"/>
      <c r="R19" s="1065"/>
      <c r="S19" s="1065"/>
      <c r="T19" s="1065"/>
      <c r="U19" s="1065"/>
      <c r="V19" s="1065"/>
    </row>
    <row r="20" spans="1:22" s="277" customFormat="1" ht="23.25" customHeight="1" x14ac:dyDescent="0.25">
      <c r="B20" s="285"/>
      <c r="C20" s="392"/>
      <c r="D20" s="286"/>
      <c r="E20" s="641"/>
      <c r="F20" s="1065"/>
      <c r="G20" s="1065"/>
      <c r="H20" s="1065"/>
      <c r="I20" s="1065"/>
      <c r="J20" s="1065"/>
      <c r="K20" s="1065"/>
      <c r="L20" s="1065"/>
      <c r="M20" s="1065"/>
      <c r="N20" s="1065"/>
      <c r="O20" s="1065"/>
      <c r="P20" s="1065"/>
      <c r="Q20" s="1065"/>
      <c r="R20" s="1065"/>
      <c r="S20" s="1065"/>
      <c r="T20" s="1065"/>
      <c r="U20" s="1065"/>
      <c r="V20" s="1065"/>
    </row>
    <row r="21" spans="1:22" s="277" customFormat="1" ht="23.25" customHeight="1" x14ac:dyDescent="0.25">
      <c r="B21" s="285"/>
      <c r="C21" s="392"/>
      <c r="D21" s="286"/>
      <c r="E21" s="641"/>
      <c r="F21" s="1065"/>
      <c r="G21" s="1065"/>
      <c r="H21" s="1065"/>
      <c r="I21" s="1065"/>
      <c r="J21" s="1065"/>
      <c r="K21" s="1065"/>
      <c r="L21" s="1065"/>
      <c r="M21" s="1065"/>
      <c r="N21" s="1065"/>
      <c r="O21" s="1065"/>
      <c r="P21" s="1065"/>
      <c r="Q21" s="1065"/>
      <c r="R21" s="1065"/>
      <c r="S21" s="1065"/>
      <c r="T21" s="1065"/>
      <c r="U21" s="1065"/>
      <c r="V21" s="1065"/>
    </row>
    <row r="22" spans="1:22" s="277" customFormat="1" ht="23.25" customHeight="1" x14ac:dyDescent="0.25">
      <c r="B22" s="285"/>
      <c r="C22" s="392"/>
      <c r="D22" s="286"/>
      <c r="E22" s="641"/>
      <c r="F22" s="1065"/>
      <c r="G22" s="1065"/>
      <c r="H22" s="1065"/>
      <c r="I22" s="1065"/>
      <c r="J22" s="1065"/>
      <c r="K22" s="1065"/>
      <c r="L22" s="1065"/>
      <c r="M22" s="1065"/>
      <c r="N22" s="1065"/>
      <c r="O22" s="1065"/>
      <c r="P22" s="1065"/>
      <c r="Q22" s="1065"/>
      <c r="R22" s="1065"/>
      <c r="S22" s="1065"/>
      <c r="T22" s="1065"/>
      <c r="U22" s="1065"/>
      <c r="V22" s="1065"/>
    </row>
    <row r="23" spans="1:22" s="277" customFormat="1" ht="23.25" customHeight="1" x14ac:dyDescent="0.25">
      <c r="B23" s="285"/>
      <c r="C23" s="392"/>
      <c r="D23" s="286"/>
      <c r="E23" s="641"/>
      <c r="F23" s="1065"/>
      <c r="G23" s="1065"/>
      <c r="H23" s="1065"/>
      <c r="I23" s="1065"/>
      <c r="J23" s="1065"/>
      <c r="K23" s="1065"/>
      <c r="L23" s="1065"/>
      <c r="M23" s="1065"/>
      <c r="N23" s="1065"/>
      <c r="O23" s="1065"/>
      <c r="P23" s="1065"/>
      <c r="Q23" s="1065"/>
      <c r="R23" s="1065"/>
      <c r="S23" s="1065"/>
      <c r="T23" s="1065"/>
      <c r="U23" s="1065"/>
      <c r="V23" s="1065"/>
    </row>
    <row r="24" spans="1:22" s="277" customFormat="1" ht="23.25" customHeight="1" x14ac:dyDescent="0.25">
      <c r="B24" s="285"/>
      <c r="C24" s="392"/>
      <c r="D24" s="286"/>
      <c r="E24" s="641"/>
      <c r="F24" s="1065"/>
      <c r="G24" s="1065"/>
      <c r="H24" s="1065"/>
      <c r="I24" s="1065"/>
      <c r="J24" s="1065"/>
      <c r="K24" s="1065"/>
      <c r="L24" s="1065"/>
      <c r="M24" s="1065"/>
      <c r="N24" s="1065"/>
      <c r="O24" s="1065"/>
      <c r="P24" s="1065"/>
      <c r="Q24" s="1065"/>
      <c r="R24" s="1065"/>
      <c r="S24" s="1065"/>
      <c r="T24" s="1065"/>
      <c r="U24" s="1065"/>
      <c r="V24" s="1065"/>
    </row>
    <row r="25" spans="1:22" s="277" customFormat="1" ht="9" customHeight="1" x14ac:dyDescent="0.25">
      <c r="B25" s="289"/>
      <c r="D25" s="290"/>
      <c r="E25" s="287"/>
      <c r="F25" s="290"/>
      <c r="G25" s="287"/>
      <c r="H25" s="291"/>
      <c r="I25" s="288"/>
      <c r="J25" s="292"/>
      <c r="L25" s="1070"/>
      <c r="M25" s="1070"/>
      <c r="N25" s="1070"/>
      <c r="O25" s="1070"/>
      <c r="P25" s="1070"/>
      <c r="Q25" s="1070"/>
      <c r="R25" s="1070"/>
      <c r="S25" s="1070"/>
      <c r="T25" s="1070"/>
      <c r="U25" s="1070"/>
      <c r="V25" s="1070"/>
    </row>
    <row r="26" spans="1:22" s="277" customFormat="1" ht="15" customHeight="1" x14ac:dyDescent="0.25">
      <c r="D26" s="287"/>
      <c r="E26" s="287"/>
      <c r="F26" s="287"/>
      <c r="G26" s="287"/>
      <c r="H26" s="287"/>
    </row>
    <row r="27" spans="1:22" s="277" customFormat="1" ht="15" customHeight="1" x14ac:dyDescent="0.25"/>
    <row r="28" spans="1:22" s="277" customFormat="1" ht="21.75" customHeight="1" x14ac:dyDescent="0.25">
      <c r="B28" s="289"/>
      <c r="C28" s="289"/>
      <c r="D28" s="289"/>
      <c r="E28" s="289"/>
      <c r="F28" s="289"/>
      <c r="G28" s="289"/>
      <c r="H28" s="289"/>
      <c r="I28" s="289"/>
      <c r="J28" s="289"/>
      <c r="K28" s="289"/>
      <c r="L28" s="289"/>
      <c r="M28" s="289"/>
      <c r="N28" s="289"/>
      <c r="O28" s="289"/>
      <c r="P28" s="289"/>
      <c r="Q28" s="289"/>
      <c r="R28" s="289"/>
      <c r="S28" s="289"/>
      <c r="T28" s="289"/>
      <c r="U28" s="289"/>
      <c r="V28" s="289"/>
    </row>
    <row r="29" spans="1:22" s="277" customFormat="1" ht="15" customHeight="1" x14ac:dyDescent="0.25">
      <c r="B29" s="289"/>
      <c r="C29" s="289"/>
      <c r="D29" s="289"/>
      <c r="E29" s="289"/>
      <c r="F29" s="289"/>
      <c r="G29" s="289"/>
      <c r="H29" s="289"/>
      <c r="I29" s="289"/>
      <c r="J29" s="289"/>
      <c r="K29" s="289"/>
      <c r="L29" s="289"/>
      <c r="M29" s="289"/>
      <c r="N29" s="289"/>
      <c r="O29" s="289"/>
      <c r="P29" s="289"/>
      <c r="Q29" s="289"/>
      <c r="R29" s="289"/>
      <c r="S29" s="289"/>
      <c r="T29" s="289"/>
      <c r="U29" s="289"/>
      <c r="V29" s="289"/>
    </row>
    <row r="30" spans="1:22" ht="6" customHeight="1" x14ac:dyDescent="0.25">
      <c r="P30" s="294"/>
      <c r="Q30" s="294"/>
      <c r="R30" s="294"/>
      <c r="S30" s="294"/>
      <c r="T30" s="294"/>
      <c r="U30" s="294"/>
      <c r="V30" s="294"/>
    </row>
    <row r="31" spans="1:22" ht="15" customHeight="1" x14ac:dyDescent="0.25">
      <c r="A31" s="295" t="str">
        <f ca="1">MID(CELL("filename",A11),FIND("]",CELL("filename",A11))+1,256)</f>
        <v>625</v>
      </c>
      <c r="B31" s="296"/>
      <c r="P31" s="294"/>
      <c r="Q31" s="294"/>
      <c r="R31" s="294"/>
      <c r="S31" s="294"/>
      <c r="T31" s="294"/>
      <c r="U31" s="294"/>
      <c r="V31" s="294"/>
    </row>
    <row r="32" spans="1:22" ht="15" customHeight="1" x14ac:dyDescent="0.25">
      <c r="A32" s="295" t="s">
        <v>9</v>
      </c>
      <c r="B32" s="296"/>
      <c r="P32" s="294"/>
      <c r="Q32" s="294"/>
      <c r="R32" s="294"/>
      <c r="S32" s="294"/>
      <c r="T32" s="294"/>
      <c r="U32" s="294"/>
      <c r="V32" s="294"/>
    </row>
    <row r="33" spans="1:22" ht="15" customHeight="1" x14ac:dyDescent="0.25">
      <c r="A33" s="295" t="s">
        <v>10</v>
      </c>
      <c r="B33" s="296"/>
      <c r="P33" s="294"/>
      <c r="Q33" s="294"/>
      <c r="R33" s="294"/>
      <c r="S33" s="294"/>
      <c r="T33" s="294"/>
      <c r="U33" s="294"/>
      <c r="V33" s="294"/>
    </row>
    <row r="34" spans="1:22" ht="15" customHeight="1" x14ac:dyDescent="0.25">
      <c r="A34" s="295" t="s">
        <v>11</v>
      </c>
      <c r="B34" s="295" t="s">
        <v>776</v>
      </c>
      <c r="P34" s="294"/>
      <c r="Q34" s="294"/>
      <c r="R34" s="294"/>
      <c r="S34" s="294"/>
      <c r="T34" s="294"/>
      <c r="U34" s="294"/>
      <c r="V34" s="294"/>
    </row>
    <row r="35" spans="1:22" ht="15" x14ac:dyDescent="0.25">
      <c r="A35" s="295" t="s">
        <v>12</v>
      </c>
      <c r="B35" s="295" t="s">
        <v>776</v>
      </c>
      <c r="P35" s="294"/>
      <c r="Q35" s="294"/>
      <c r="R35" s="294"/>
      <c r="S35" s="294"/>
      <c r="T35" s="294"/>
      <c r="U35" s="294"/>
      <c r="V35" s="294"/>
    </row>
    <row r="36" spans="1:22" ht="15" x14ac:dyDescent="0.25">
      <c r="A36" s="295" t="s">
        <v>13</v>
      </c>
      <c r="B36" s="295" t="s">
        <v>776</v>
      </c>
      <c r="P36" s="294"/>
      <c r="Q36" s="294"/>
      <c r="R36" s="294"/>
      <c r="S36" s="294"/>
      <c r="T36" s="294"/>
      <c r="U36" s="294"/>
      <c r="V36" s="294"/>
    </row>
    <row r="37" spans="1:22" ht="15" x14ac:dyDescent="0.25">
      <c r="A37" s="295" t="s">
        <v>14</v>
      </c>
      <c r="B37" s="295" t="s">
        <v>776</v>
      </c>
      <c r="P37" s="294"/>
      <c r="Q37" s="294"/>
      <c r="R37" s="294"/>
      <c r="S37" s="294"/>
      <c r="T37" s="294"/>
      <c r="U37" s="294"/>
      <c r="V37" s="294"/>
    </row>
    <row r="38" spans="1:22" ht="15" x14ac:dyDescent="0.25">
      <c r="A38" s="295" t="s">
        <v>15</v>
      </c>
      <c r="B38" s="295" t="s">
        <v>776</v>
      </c>
      <c r="P38" s="294"/>
      <c r="Q38" s="294"/>
      <c r="R38" s="294"/>
      <c r="S38" s="294"/>
      <c r="T38" s="294"/>
      <c r="U38" s="294"/>
      <c r="V38" s="294"/>
    </row>
    <row r="39" spans="1:22" ht="15" x14ac:dyDescent="0.25">
      <c r="A39" s="295" t="s">
        <v>16</v>
      </c>
      <c r="B39" s="295" t="s">
        <v>776</v>
      </c>
      <c r="P39" s="294"/>
      <c r="Q39" s="294"/>
      <c r="R39" s="294"/>
      <c r="S39" s="294"/>
      <c r="T39" s="294"/>
      <c r="U39" s="294"/>
      <c r="V39" s="294"/>
    </row>
    <row r="40" spans="1:22" ht="15" x14ac:dyDescent="0.25">
      <c r="A40" s="295" t="s">
        <v>17</v>
      </c>
      <c r="B40" s="295" t="s">
        <v>776</v>
      </c>
      <c r="P40" s="294"/>
      <c r="Q40" s="294"/>
      <c r="R40" s="294"/>
      <c r="S40" s="294"/>
      <c r="T40" s="294"/>
      <c r="U40" s="294"/>
      <c r="V40" s="294"/>
    </row>
    <row r="41" spans="1:22" ht="15" x14ac:dyDescent="0.25">
      <c r="A41" s="295" t="s">
        <v>18</v>
      </c>
      <c r="B41" s="295" t="s">
        <v>776</v>
      </c>
      <c r="P41" s="294"/>
      <c r="Q41" s="294"/>
      <c r="R41" s="294"/>
      <c r="S41" s="294"/>
      <c r="T41" s="294"/>
      <c r="U41" s="294"/>
      <c r="V41" s="294"/>
    </row>
    <row r="42" spans="1:22" x14ac:dyDescent="0.25">
      <c r="P42" s="294"/>
      <c r="Q42" s="294"/>
      <c r="R42" s="294"/>
      <c r="S42" s="294"/>
      <c r="T42" s="294"/>
      <c r="U42" s="294"/>
      <c r="V42" s="294"/>
    </row>
    <row r="43" spans="1:22" x14ac:dyDescent="0.25">
      <c r="P43" s="294"/>
      <c r="Q43" s="294"/>
      <c r="R43" s="294"/>
      <c r="S43" s="294"/>
      <c r="T43" s="294"/>
      <c r="U43" s="294"/>
      <c r="V43" s="294"/>
    </row>
    <row r="44" spans="1:22" x14ac:dyDescent="0.25">
      <c r="P44" s="294"/>
      <c r="Q44" s="294"/>
      <c r="R44" s="294"/>
      <c r="S44" s="294"/>
      <c r="T44" s="294"/>
      <c r="U44" s="294"/>
      <c r="V44" s="294"/>
    </row>
    <row r="45" spans="1:22" x14ac:dyDescent="0.25">
      <c r="P45" s="294"/>
      <c r="Q45" s="294"/>
      <c r="R45" s="294"/>
      <c r="S45" s="294"/>
      <c r="T45" s="294"/>
      <c r="U45" s="294"/>
      <c r="V45" s="294"/>
    </row>
    <row r="46" spans="1:22" x14ac:dyDescent="0.25">
      <c r="P46" s="294"/>
      <c r="Q46" s="294"/>
      <c r="R46" s="294"/>
      <c r="S46" s="294"/>
      <c r="T46" s="294"/>
      <c r="U46" s="294"/>
      <c r="V46" s="294"/>
    </row>
    <row r="47" spans="1:22" x14ac:dyDescent="0.25">
      <c r="P47" s="294"/>
      <c r="Q47" s="294"/>
      <c r="R47" s="294"/>
      <c r="S47" s="294"/>
      <c r="T47" s="294"/>
      <c r="U47" s="294"/>
      <c r="V47" s="294"/>
    </row>
    <row r="48" spans="1:22" x14ac:dyDescent="0.25">
      <c r="P48" s="294"/>
      <c r="Q48" s="294"/>
      <c r="R48" s="294"/>
      <c r="S48" s="294"/>
      <c r="T48" s="294"/>
      <c r="U48" s="294"/>
      <c r="V48" s="294"/>
    </row>
    <row r="49" spans="16:22" x14ac:dyDescent="0.25">
      <c r="P49" s="294"/>
      <c r="Q49" s="294"/>
      <c r="R49" s="294"/>
      <c r="S49" s="294"/>
      <c r="T49" s="294"/>
      <c r="U49" s="294"/>
      <c r="V49" s="294"/>
    </row>
    <row r="50" spans="16:22" x14ac:dyDescent="0.25">
      <c r="P50" s="294"/>
      <c r="Q50" s="294"/>
      <c r="R50" s="294"/>
      <c r="S50" s="294"/>
      <c r="T50" s="294"/>
      <c r="U50" s="294"/>
      <c r="V50" s="294"/>
    </row>
    <row r="51" spans="16:22" x14ac:dyDescent="0.25">
      <c r="P51" s="294"/>
      <c r="Q51" s="294"/>
      <c r="R51" s="294"/>
      <c r="S51" s="294"/>
      <c r="T51" s="294"/>
      <c r="U51" s="294"/>
      <c r="V51" s="294"/>
    </row>
    <row r="52" spans="16:22" x14ac:dyDescent="0.25">
      <c r="P52" s="294"/>
      <c r="Q52" s="294"/>
      <c r="R52" s="294"/>
      <c r="S52" s="294"/>
      <c r="T52" s="294"/>
      <c r="U52" s="294"/>
      <c r="V52" s="294"/>
    </row>
    <row r="53" spans="16:22" x14ac:dyDescent="0.25">
      <c r="P53" s="294"/>
      <c r="Q53" s="294"/>
      <c r="R53" s="294"/>
      <c r="S53" s="294"/>
      <c r="T53" s="294"/>
      <c r="U53" s="294"/>
      <c r="V53" s="294"/>
    </row>
    <row r="54" spans="16:22" x14ac:dyDescent="0.25">
      <c r="P54" s="294"/>
      <c r="Q54" s="294"/>
      <c r="R54" s="294"/>
      <c r="S54" s="294"/>
      <c r="T54" s="294"/>
      <c r="U54" s="294"/>
      <c r="V54" s="294"/>
    </row>
    <row r="55" spans="16:22" x14ac:dyDescent="0.25">
      <c r="P55" s="294"/>
      <c r="Q55" s="294"/>
      <c r="R55" s="294"/>
      <c r="S55" s="294"/>
      <c r="T55" s="294"/>
      <c r="U55" s="294"/>
      <c r="V55" s="294"/>
    </row>
    <row r="56" spans="16:22" x14ac:dyDescent="0.25">
      <c r="P56" s="294"/>
      <c r="Q56" s="294"/>
      <c r="R56" s="294"/>
      <c r="S56" s="294"/>
      <c r="T56" s="294"/>
      <c r="U56" s="294"/>
      <c r="V56" s="294"/>
    </row>
    <row r="57" spans="16:22" x14ac:dyDescent="0.25">
      <c r="P57" s="294"/>
      <c r="Q57" s="294"/>
      <c r="R57" s="294"/>
      <c r="S57" s="294"/>
      <c r="T57" s="294"/>
      <c r="U57" s="294"/>
      <c r="V57" s="294"/>
    </row>
    <row r="58" spans="16:22" x14ac:dyDescent="0.25">
      <c r="P58" s="294"/>
      <c r="Q58" s="294"/>
      <c r="R58" s="294"/>
      <c r="S58" s="294"/>
      <c r="T58" s="294"/>
      <c r="U58" s="294"/>
      <c r="V58" s="294"/>
    </row>
  </sheetData>
  <sheetProtection algorithmName="SHA-512" hashValue="VwtjPETU0JCB7uL1u31wxvfLOAjOOtqEjvURyKKiBcIqy4qtxGKb8VG4gXqpw8jh76TOlKUdeKD/mcWvKhY+mw==" saltValue="EYFZVUl3uDdWwEDyNwEzHA==" spinCount="100000" sheet="1" objects="1" scenarios="1" autoFilter="0"/>
  <mergeCells count="20">
    <mergeCell ref="L25:V25"/>
    <mergeCell ref="F20:V20"/>
    <mergeCell ref="F21:V21"/>
    <mergeCell ref="F22:V22"/>
    <mergeCell ref="F19:V19"/>
    <mergeCell ref="F24:V24"/>
    <mergeCell ref="F23:V23"/>
    <mergeCell ref="F18:V18"/>
    <mergeCell ref="B3:V3"/>
    <mergeCell ref="F16:V16"/>
    <mergeCell ref="F15:V15"/>
    <mergeCell ref="O7:V7"/>
    <mergeCell ref="O5:V5"/>
    <mergeCell ref="O6:V6"/>
    <mergeCell ref="C7:G7"/>
    <mergeCell ref="B1:V1"/>
    <mergeCell ref="B2:V2"/>
    <mergeCell ref="C5:F5"/>
    <mergeCell ref="C6:F6"/>
    <mergeCell ref="F17:V17"/>
  </mergeCells>
  <phoneticPr fontId="8" type="noConversion"/>
  <conditionalFormatting sqref="W1:W3">
    <cfRule type="cellIs" dxfId="2" priority="1" stopIfTrue="1" operator="equal">
      <formula>"na"</formula>
    </cfRule>
  </conditionalFormatting>
  <dataValidations count="1">
    <dataValidation type="textLength" operator="equal" allowBlank="1" showInputMessage="1" showErrorMessage="1" errorTitle="Invalid data!" error="GASB number must be 4 digits." sqref="C6" xr:uid="{00000000-0002-0000-1700-000000000000}">
      <formula1>4</formula1>
    </dataValidation>
  </dataValidations>
  <hyperlinks>
    <hyperlink ref="B1:V1" location="Index!A1" display="Index!A1" xr:uid="{00000000-0004-0000-1700-000000000000}"/>
  </hyperlinks>
  <pageMargins left="0.7" right="0.45" top="0.5" bottom="0.5" header="0.3" footer="0.3"/>
  <pageSetup scale="96" orientation="landscape" r:id="rId1"/>
  <headerFooter>
    <oddFooter>&amp;R&amp;A</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7">
    <pageSetUpPr fitToPage="1"/>
  </sheetPr>
  <dimension ref="A1:AA165"/>
  <sheetViews>
    <sheetView showGridLines="0" zoomScaleNormal="100" workbookViewId="0">
      <selection activeCell="A2" sqref="A2:M2"/>
    </sheetView>
  </sheetViews>
  <sheetFormatPr defaultColWidth="9.109375" defaultRowHeight="10.199999999999999" x14ac:dyDescent="0.2"/>
  <cols>
    <col min="1" max="1" width="8" style="156" customWidth="1"/>
    <col min="2" max="2" width="0.88671875" style="156" customWidth="1"/>
    <col min="3" max="3" width="2.5546875" style="156" customWidth="1"/>
    <col min="4" max="4" width="10.5546875" style="156" customWidth="1"/>
    <col min="5" max="5" width="2.5546875" style="156" customWidth="1"/>
    <col min="6" max="6" width="4.5546875" style="156" customWidth="1"/>
    <col min="7" max="7" width="2.5546875" style="156" customWidth="1"/>
    <col min="8" max="8" width="4.109375" style="156" customWidth="1"/>
    <col min="9" max="9" width="14.5546875" style="156" customWidth="1"/>
    <col min="10" max="10" width="1.44140625" style="156" customWidth="1"/>
    <col min="11" max="11" width="13.44140625" style="156" customWidth="1"/>
    <col min="12" max="12" width="2.109375" style="156" customWidth="1"/>
    <col min="13" max="13" width="14.5546875" style="156" customWidth="1"/>
    <col min="14" max="14" width="4.5546875" style="156" customWidth="1"/>
    <col min="15" max="16384" width="9.109375" style="156"/>
  </cols>
  <sheetData>
    <row r="1" spans="1:27" s="148" customFormat="1" ht="15" customHeight="1" x14ac:dyDescent="0.3">
      <c r="A1" s="854" t="str">
        <f>+Index!$A$1</f>
        <v>Office of the State Controller</v>
      </c>
      <c r="B1" s="854"/>
      <c r="C1" s="854"/>
      <c r="D1" s="854"/>
      <c r="E1" s="854"/>
      <c r="F1" s="854"/>
      <c r="G1" s="854"/>
      <c r="H1" s="854"/>
      <c r="I1" s="854"/>
      <c r="J1" s="854"/>
      <c r="K1" s="854"/>
      <c r="L1" s="854"/>
      <c r="M1" s="854"/>
      <c r="N1" s="980" t="str">
        <f>IF(Index!$B$66="na","NA","")</f>
        <v/>
      </c>
      <c r="AA1" s="149"/>
    </row>
    <row r="2" spans="1:27" s="148" customFormat="1" ht="15" customHeight="1" x14ac:dyDescent="0.3">
      <c r="A2" s="1078" t="str">
        <f>Index!A2</f>
        <v>2022 ACFR Worksheets for Nonmajor Component Units</v>
      </c>
      <c r="B2" s="1078"/>
      <c r="C2" s="1078"/>
      <c r="D2" s="1078"/>
      <c r="E2" s="1078"/>
      <c r="F2" s="1078"/>
      <c r="G2" s="1078"/>
      <c r="H2" s="1078"/>
      <c r="I2" s="1078"/>
      <c r="J2" s="1078"/>
      <c r="K2" s="1078"/>
      <c r="L2" s="1078"/>
      <c r="M2" s="1078"/>
      <c r="N2" s="980"/>
    </row>
    <row r="3" spans="1:27" s="148" customFormat="1" ht="15" customHeight="1" x14ac:dyDescent="0.3">
      <c r="A3" s="1078" t="s">
        <v>168</v>
      </c>
      <c r="B3" s="1078"/>
      <c r="C3" s="1078"/>
      <c r="D3" s="1078"/>
      <c r="E3" s="1078"/>
      <c r="F3" s="1078"/>
      <c r="G3" s="1078"/>
      <c r="H3" s="1078"/>
      <c r="I3" s="1078"/>
      <c r="J3" s="1078"/>
      <c r="K3" s="1078"/>
      <c r="L3" s="1078"/>
      <c r="M3" s="1078"/>
      <c r="N3" s="980"/>
    </row>
    <row r="4" spans="1:27" s="150" customFormat="1" ht="15" customHeight="1" x14ac:dyDescent="0.25">
      <c r="H4" s="151"/>
    </row>
    <row r="5" spans="1:27" s="150" customFormat="1" ht="15" customHeight="1" x14ac:dyDescent="0.25">
      <c r="D5" s="151"/>
      <c r="I5" s="39" t="s">
        <v>357</v>
      </c>
      <c r="J5" s="908" t="str">
        <f>Index!$D$10</f>
        <v>0A</v>
      </c>
      <c r="K5" s="908"/>
      <c r="L5" s="908"/>
      <c r="M5" s="908"/>
    </row>
    <row r="6" spans="1:27" s="150" customFormat="1" ht="15" customHeight="1" x14ac:dyDescent="0.25">
      <c r="I6" s="39" t="s">
        <v>358</v>
      </c>
      <c r="J6" s="908" t="str">
        <f>Index!$D$11</f>
        <v>NC Housing Finance Agency</v>
      </c>
      <c r="K6" s="908"/>
      <c r="L6" s="908"/>
      <c r="M6" s="908"/>
    </row>
    <row r="7" spans="1:27" s="150" customFormat="1" ht="15" customHeight="1" x14ac:dyDescent="0.25">
      <c r="A7" s="152" t="s">
        <v>169</v>
      </c>
      <c r="E7" s="151"/>
      <c r="I7" s="39" t="s">
        <v>359</v>
      </c>
      <c r="J7" s="899" t="str">
        <f>CONCATENATE(Index!$D$14,"  ",Index!$D$16)</f>
        <v xml:space="preserve">  </v>
      </c>
      <c r="K7" s="899"/>
      <c r="L7" s="899"/>
      <c r="M7" s="899"/>
    </row>
    <row r="8" spans="1:27" s="150" customFormat="1" ht="15" customHeight="1" x14ac:dyDescent="0.25">
      <c r="A8" s="152"/>
      <c r="E8" s="151"/>
      <c r="I8" s="237" t="s">
        <v>196</v>
      </c>
      <c r="J8" s="899">
        <f>+Index!$D$15</f>
        <v>0</v>
      </c>
      <c r="K8" s="899"/>
      <c r="L8" s="899"/>
      <c r="M8" s="899"/>
    </row>
    <row r="9" spans="1:27" s="150" customFormat="1" ht="15" customHeight="1" thickBot="1" x14ac:dyDescent="0.3">
      <c r="A9" s="153"/>
      <c r="B9" s="153"/>
      <c r="C9" s="153"/>
      <c r="D9" s="153"/>
      <c r="E9" s="153"/>
      <c r="F9" s="153"/>
      <c r="G9" s="153"/>
      <c r="H9" s="153"/>
      <c r="I9" s="153"/>
      <c r="J9" s="153"/>
      <c r="K9" s="153"/>
      <c r="L9" s="153"/>
      <c r="M9" s="153"/>
    </row>
    <row r="10" spans="1:27" s="150" customFormat="1" ht="12.75" customHeight="1" x14ac:dyDescent="0.25">
      <c r="A10" s="154"/>
      <c r="B10" s="154"/>
      <c r="C10" s="154"/>
      <c r="D10" s="154"/>
      <c r="E10" s="154"/>
      <c r="F10" s="154"/>
      <c r="G10" s="154"/>
      <c r="H10" s="154"/>
      <c r="I10" s="154"/>
      <c r="J10" s="154"/>
      <c r="K10" s="154"/>
      <c r="L10" s="154"/>
      <c r="M10" s="154"/>
    </row>
    <row r="11" spans="1:27" ht="15" customHeight="1" x14ac:dyDescent="0.3">
      <c r="A11" s="155" t="s">
        <v>170</v>
      </c>
      <c r="B11" s="154"/>
      <c r="C11" s="1077" t="s">
        <v>67</v>
      </c>
      <c r="D11" s="1077"/>
      <c r="E11" s="1077"/>
      <c r="F11" s="1077"/>
      <c r="G11" s="1077"/>
      <c r="H11" s="1077"/>
      <c r="I11" s="1077"/>
      <c r="J11" s="1077"/>
      <c r="K11" s="1077"/>
      <c r="L11" s="1077"/>
      <c r="M11" s="1077"/>
    </row>
    <row r="12" spans="1:27" ht="15" customHeight="1" x14ac:dyDescent="0.25">
      <c r="A12" s="157"/>
      <c r="B12" s="154"/>
      <c r="C12" s="1071"/>
      <c r="D12" s="1071"/>
      <c r="E12" s="1071"/>
      <c r="F12" s="1071"/>
      <c r="G12" s="1071"/>
      <c r="H12" s="1071"/>
      <c r="I12" s="1071"/>
      <c r="J12" s="1071"/>
      <c r="K12" s="1071"/>
      <c r="L12" s="1071"/>
      <c r="M12" s="1071"/>
    </row>
    <row r="13" spans="1:27" ht="15" customHeight="1" x14ac:dyDescent="0.25">
      <c r="A13" s="157"/>
      <c r="B13" s="154"/>
      <c r="C13" s="1071"/>
      <c r="D13" s="1071"/>
      <c r="E13" s="1071"/>
      <c r="F13" s="1071"/>
      <c r="G13" s="1071"/>
      <c r="H13" s="1071"/>
      <c r="I13" s="1071"/>
      <c r="J13" s="1071"/>
      <c r="K13" s="1071"/>
      <c r="L13" s="1071"/>
      <c r="M13" s="1071"/>
    </row>
    <row r="14" spans="1:27" ht="15" customHeight="1" x14ac:dyDescent="0.25">
      <c r="A14" s="157"/>
      <c r="B14" s="154"/>
      <c r="C14" s="1071"/>
      <c r="D14" s="1071"/>
      <c r="E14" s="1071"/>
      <c r="F14" s="1071"/>
      <c r="G14" s="1071"/>
      <c r="H14" s="1071"/>
      <c r="I14" s="1071"/>
      <c r="J14" s="1071"/>
      <c r="K14" s="1071"/>
      <c r="L14" s="1071"/>
      <c r="M14" s="1071"/>
    </row>
    <row r="15" spans="1:27" ht="15" customHeight="1" x14ac:dyDescent="0.25">
      <c r="A15" s="157"/>
      <c r="B15" s="154"/>
      <c r="C15" s="1071"/>
      <c r="D15" s="1071"/>
      <c r="E15" s="1071"/>
      <c r="F15" s="1071"/>
      <c r="G15" s="1071"/>
      <c r="H15" s="1071"/>
      <c r="I15" s="1071"/>
      <c r="J15" s="1071"/>
      <c r="K15" s="1071"/>
      <c r="L15" s="1071"/>
      <c r="M15" s="1071"/>
    </row>
    <row r="16" spans="1:27" ht="15" customHeight="1" x14ac:dyDescent="0.25">
      <c r="A16" s="157"/>
      <c r="B16" s="154"/>
      <c r="C16" s="1071"/>
      <c r="D16" s="1071"/>
      <c r="E16" s="1071"/>
      <c r="F16" s="1071"/>
      <c r="G16" s="1071"/>
      <c r="H16" s="1071"/>
      <c r="I16" s="1071"/>
      <c r="J16" s="1071"/>
      <c r="K16" s="1071"/>
      <c r="L16" s="1071"/>
      <c r="M16" s="1071"/>
    </row>
    <row r="17" spans="1:13" ht="15" customHeight="1" x14ac:dyDescent="0.25">
      <c r="A17" s="157"/>
      <c r="B17" s="154"/>
      <c r="C17" s="1071"/>
      <c r="D17" s="1071"/>
      <c r="E17" s="1071"/>
      <c r="F17" s="1071"/>
      <c r="G17" s="1071"/>
      <c r="H17" s="1071"/>
      <c r="I17" s="1071"/>
      <c r="J17" s="1071"/>
      <c r="K17" s="1071"/>
      <c r="L17" s="1071"/>
      <c r="M17" s="1071"/>
    </row>
    <row r="18" spans="1:13" ht="15" customHeight="1" x14ac:dyDescent="0.25">
      <c r="A18" s="157"/>
      <c r="B18" s="154"/>
      <c r="C18" s="1071"/>
      <c r="D18" s="1071"/>
      <c r="E18" s="1071"/>
      <c r="F18" s="1071"/>
      <c r="G18" s="1071"/>
      <c r="H18" s="1071"/>
      <c r="I18" s="1071"/>
      <c r="J18" s="1071"/>
      <c r="K18" s="1071"/>
      <c r="L18" s="1071"/>
      <c r="M18" s="1071"/>
    </row>
    <row r="19" spans="1:13" ht="15" customHeight="1" x14ac:dyDescent="0.25">
      <c r="A19" s="157"/>
      <c r="B19" s="154"/>
      <c r="C19" s="1071"/>
      <c r="D19" s="1071"/>
      <c r="E19" s="1071"/>
      <c r="F19" s="1071"/>
      <c r="G19" s="1071"/>
      <c r="H19" s="1071"/>
      <c r="I19" s="1071"/>
      <c r="J19" s="1071"/>
      <c r="K19" s="1071"/>
      <c r="L19" s="1071"/>
      <c r="M19" s="1071"/>
    </row>
    <row r="20" spans="1:13" ht="15" customHeight="1" x14ac:dyDescent="0.25">
      <c r="A20" s="157"/>
      <c r="B20" s="154"/>
      <c r="C20" s="1071"/>
      <c r="D20" s="1071"/>
      <c r="E20" s="1071"/>
      <c r="F20" s="1071"/>
      <c r="G20" s="1071"/>
      <c r="H20" s="1071"/>
      <c r="I20" s="1071"/>
      <c r="J20" s="1071"/>
      <c r="K20" s="1071"/>
      <c r="L20" s="1071"/>
      <c r="M20" s="1071"/>
    </row>
    <row r="21" spans="1:13" ht="15" customHeight="1" x14ac:dyDescent="0.25">
      <c r="A21" s="157"/>
      <c r="B21" s="154"/>
      <c r="C21" s="1071"/>
      <c r="D21" s="1071"/>
      <c r="E21" s="1071"/>
      <c r="F21" s="1071"/>
      <c r="G21" s="1071"/>
      <c r="H21" s="1071"/>
      <c r="I21" s="1071"/>
      <c r="J21" s="1071"/>
      <c r="K21" s="1071"/>
      <c r="L21" s="1071"/>
      <c r="M21" s="1071"/>
    </row>
    <row r="22" spans="1:13" ht="15" customHeight="1" x14ac:dyDescent="0.25">
      <c r="A22" s="157"/>
      <c r="B22" s="154"/>
      <c r="C22" s="1071"/>
      <c r="D22" s="1071"/>
      <c r="E22" s="1071"/>
      <c r="F22" s="1071"/>
      <c r="G22" s="1071"/>
      <c r="H22" s="1071"/>
      <c r="I22" s="1071"/>
      <c r="J22" s="1071"/>
      <c r="K22" s="1071"/>
      <c r="L22" s="1071"/>
      <c r="M22" s="1071"/>
    </row>
    <row r="23" spans="1:13" ht="15" customHeight="1" x14ac:dyDescent="0.25">
      <c r="A23" s="157"/>
      <c r="B23" s="154"/>
      <c r="C23" s="1071"/>
      <c r="D23" s="1071"/>
      <c r="E23" s="1071"/>
      <c r="F23" s="1071"/>
      <c r="G23" s="1071"/>
      <c r="H23" s="1071"/>
      <c r="I23" s="1071"/>
      <c r="J23" s="1071"/>
      <c r="K23" s="1071"/>
      <c r="L23" s="1071"/>
      <c r="M23" s="1071"/>
    </row>
    <row r="24" spans="1:13" ht="15" customHeight="1" x14ac:dyDescent="0.25">
      <c r="A24" s="157"/>
      <c r="B24" s="154"/>
      <c r="C24" s="1071"/>
      <c r="D24" s="1071"/>
      <c r="E24" s="1071"/>
      <c r="F24" s="1071"/>
      <c r="G24" s="1071"/>
      <c r="H24" s="1071"/>
      <c r="I24" s="1071"/>
      <c r="J24" s="1071"/>
      <c r="K24" s="1071"/>
      <c r="L24" s="1071"/>
      <c r="M24" s="1071"/>
    </row>
    <row r="25" spans="1:13" ht="15" customHeight="1" x14ac:dyDescent="0.25">
      <c r="A25" s="157"/>
      <c r="B25" s="154"/>
      <c r="C25" s="1071"/>
      <c r="D25" s="1071"/>
      <c r="E25" s="1071"/>
      <c r="F25" s="1071"/>
      <c r="G25" s="1071"/>
      <c r="H25" s="1071"/>
      <c r="I25" s="1071"/>
      <c r="J25" s="1071"/>
      <c r="K25" s="1071"/>
      <c r="L25" s="1071"/>
      <c r="M25" s="1071"/>
    </row>
    <row r="26" spans="1:13" ht="15" customHeight="1" x14ac:dyDescent="0.25">
      <c r="A26" s="157"/>
      <c r="B26" s="154"/>
      <c r="C26" s="1071"/>
      <c r="D26" s="1071"/>
      <c r="E26" s="1071"/>
      <c r="F26" s="1071"/>
      <c r="G26" s="1071"/>
      <c r="H26" s="1071"/>
      <c r="I26" s="1071"/>
      <c r="J26" s="1071"/>
      <c r="K26" s="1071"/>
      <c r="L26" s="1071"/>
      <c r="M26" s="1071"/>
    </row>
    <row r="27" spans="1:13" ht="15" customHeight="1" x14ac:dyDescent="0.25">
      <c r="A27" s="157"/>
      <c r="B27" s="154"/>
      <c r="C27" s="1071"/>
      <c r="D27" s="1071"/>
      <c r="E27" s="1071"/>
      <c r="F27" s="1071"/>
      <c r="G27" s="1071"/>
      <c r="H27" s="1071"/>
      <c r="I27" s="1071"/>
      <c r="J27" s="1071"/>
      <c r="K27" s="1071"/>
      <c r="L27" s="1071"/>
      <c r="M27" s="1071"/>
    </row>
    <row r="28" spans="1:13" ht="15" customHeight="1" x14ac:dyDescent="0.25">
      <c r="A28" s="157"/>
      <c r="B28" s="154"/>
      <c r="C28" s="1071"/>
      <c r="D28" s="1071"/>
      <c r="E28" s="1071"/>
      <c r="F28" s="1071"/>
      <c r="G28" s="1071"/>
      <c r="H28" s="1071"/>
      <c r="I28" s="1071"/>
      <c r="J28" s="1071"/>
      <c r="K28" s="1071"/>
      <c r="L28" s="1071"/>
      <c r="M28" s="1071"/>
    </row>
    <row r="29" spans="1:13" ht="15" customHeight="1" x14ac:dyDescent="0.25">
      <c r="A29" s="157"/>
      <c r="B29" s="154"/>
      <c r="C29" s="1071"/>
      <c r="D29" s="1071"/>
      <c r="E29" s="1071"/>
      <c r="F29" s="1071"/>
      <c r="G29" s="1071"/>
      <c r="H29" s="1071"/>
      <c r="I29" s="1071"/>
      <c r="J29" s="1071"/>
      <c r="K29" s="1071"/>
      <c r="L29" s="1071"/>
      <c r="M29" s="1071"/>
    </row>
    <row r="30" spans="1:13" ht="15" customHeight="1" x14ac:dyDescent="0.25">
      <c r="A30" s="157"/>
      <c r="B30" s="154"/>
      <c r="C30" s="1071"/>
      <c r="D30" s="1071"/>
      <c r="E30" s="1071"/>
      <c r="F30" s="1071"/>
      <c r="G30" s="1071"/>
      <c r="H30" s="1071"/>
      <c r="I30" s="1071"/>
      <c r="J30" s="1071"/>
      <c r="K30" s="1071"/>
      <c r="L30" s="1071"/>
      <c r="M30" s="1071"/>
    </row>
    <row r="31" spans="1:13" ht="15" customHeight="1" x14ac:dyDescent="0.25">
      <c r="A31" s="157"/>
      <c r="B31" s="154"/>
      <c r="C31" s="1071"/>
      <c r="D31" s="1071"/>
      <c r="E31" s="1071"/>
      <c r="F31" s="1071"/>
      <c r="G31" s="1071"/>
      <c r="H31" s="1071"/>
      <c r="I31" s="1071"/>
      <c r="J31" s="1071"/>
      <c r="K31" s="1071"/>
      <c r="L31" s="1071"/>
      <c r="M31" s="1071"/>
    </row>
    <row r="32" spans="1:13" ht="15" customHeight="1" x14ac:dyDescent="0.25">
      <c r="A32" s="157"/>
      <c r="B32" s="154"/>
      <c r="C32" s="1071"/>
      <c r="D32" s="1071"/>
      <c r="E32" s="1071"/>
      <c r="F32" s="1071"/>
      <c r="G32" s="1071"/>
      <c r="H32" s="1071"/>
      <c r="I32" s="1071"/>
      <c r="J32" s="1071"/>
      <c r="K32" s="1071"/>
      <c r="L32" s="1071"/>
      <c r="M32" s="1071"/>
    </row>
    <row r="33" spans="1:13" ht="15" customHeight="1" x14ac:dyDescent="0.25">
      <c r="A33" s="157"/>
      <c r="B33" s="154"/>
      <c r="C33" s="1071"/>
      <c r="D33" s="1071"/>
      <c r="E33" s="1071"/>
      <c r="F33" s="1071"/>
      <c r="G33" s="1071"/>
      <c r="H33" s="1071"/>
      <c r="I33" s="1071"/>
      <c r="J33" s="1071"/>
      <c r="K33" s="1071"/>
      <c r="L33" s="1071"/>
      <c r="M33" s="1071"/>
    </row>
    <row r="34" spans="1:13" ht="15" customHeight="1" x14ac:dyDescent="0.25">
      <c r="A34" s="157"/>
      <c r="B34" s="154"/>
      <c r="C34" s="1071"/>
      <c r="D34" s="1071"/>
      <c r="E34" s="1071"/>
      <c r="F34" s="1071"/>
      <c r="G34" s="1071"/>
      <c r="H34" s="1071"/>
      <c r="I34" s="1071"/>
      <c r="J34" s="1071"/>
      <c r="K34" s="1071"/>
      <c r="L34" s="1071"/>
      <c r="M34" s="1071"/>
    </row>
    <row r="35" spans="1:13" ht="15" customHeight="1" x14ac:dyDescent="0.25">
      <c r="A35" s="157"/>
      <c r="B35" s="154"/>
      <c r="C35" s="1071"/>
      <c r="D35" s="1071"/>
      <c r="E35" s="1071"/>
      <c r="F35" s="1071"/>
      <c r="G35" s="1071"/>
      <c r="H35" s="1071"/>
      <c r="I35" s="1071"/>
      <c r="J35" s="1071"/>
      <c r="K35" s="1071"/>
      <c r="L35" s="1071"/>
      <c r="M35" s="1071"/>
    </row>
    <row r="36" spans="1:13" ht="15" customHeight="1" x14ac:dyDescent="0.25">
      <c r="A36" s="157"/>
      <c r="B36" s="154"/>
      <c r="C36" s="1071"/>
      <c r="D36" s="1071"/>
      <c r="E36" s="1071"/>
      <c r="F36" s="1071"/>
      <c r="G36" s="1071"/>
      <c r="H36" s="1071"/>
      <c r="I36" s="1071"/>
      <c r="J36" s="1071"/>
      <c r="K36" s="1071"/>
      <c r="L36" s="1071"/>
      <c r="M36" s="1071"/>
    </row>
    <row r="37" spans="1:13" ht="15" customHeight="1" x14ac:dyDescent="0.25">
      <c r="A37" s="157"/>
      <c r="B37" s="154"/>
      <c r="C37" s="1071"/>
      <c r="D37" s="1071"/>
      <c r="E37" s="1071"/>
      <c r="F37" s="1071"/>
      <c r="G37" s="1071"/>
      <c r="H37" s="1071"/>
      <c r="I37" s="1071"/>
      <c r="J37" s="1071"/>
      <c r="K37" s="1071"/>
      <c r="L37" s="1071"/>
      <c r="M37" s="1071"/>
    </row>
    <row r="38" spans="1:13" ht="15" customHeight="1" x14ac:dyDescent="0.25">
      <c r="A38" s="157"/>
      <c r="B38" s="154"/>
      <c r="C38" s="1071"/>
      <c r="D38" s="1071"/>
      <c r="E38" s="1071"/>
      <c r="F38" s="1071"/>
      <c r="G38" s="1071"/>
      <c r="H38" s="1071"/>
      <c r="I38" s="1071"/>
      <c r="J38" s="1071"/>
      <c r="K38" s="1071"/>
      <c r="L38" s="1071"/>
      <c r="M38" s="1071"/>
    </row>
    <row r="39" spans="1:13" ht="15" customHeight="1" x14ac:dyDescent="0.25">
      <c r="A39" s="157"/>
      <c r="B39" s="154"/>
      <c r="C39" s="1071"/>
      <c r="D39" s="1071"/>
      <c r="E39" s="1071"/>
      <c r="F39" s="1071"/>
      <c r="G39" s="1071"/>
      <c r="H39" s="1071"/>
      <c r="I39" s="1071"/>
      <c r="J39" s="1071"/>
      <c r="K39" s="1071"/>
      <c r="L39" s="1071"/>
      <c r="M39" s="1071"/>
    </row>
    <row r="40" spans="1:13" ht="15" customHeight="1" x14ac:dyDescent="0.25">
      <c r="A40" s="157"/>
      <c r="B40" s="154"/>
      <c r="C40" s="1071"/>
      <c r="D40" s="1071"/>
      <c r="E40" s="1071"/>
      <c r="F40" s="1071"/>
      <c r="G40" s="1071"/>
      <c r="H40" s="1071"/>
      <c r="I40" s="1071"/>
      <c r="J40" s="1071"/>
      <c r="K40" s="1071"/>
      <c r="L40" s="1071"/>
      <c r="M40" s="1071"/>
    </row>
    <row r="41" spans="1:13" ht="15" customHeight="1" x14ac:dyDescent="0.25">
      <c r="A41" s="157"/>
      <c r="B41" s="154"/>
      <c r="C41" s="1071"/>
      <c r="D41" s="1071"/>
      <c r="E41" s="1071"/>
      <c r="F41" s="1071"/>
      <c r="G41" s="1071"/>
      <c r="H41" s="1071"/>
      <c r="I41" s="1071"/>
      <c r="J41" s="1071"/>
      <c r="K41" s="1071"/>
      <c r="L41" s="1071"/>
      <c r="M41" s="1071"/>
    </row>
    <row r="42" spans="1:13" ht="15" customHeight="1" x14ac:dyDescent="0.25">
      <c r="A42" s="495"/>
      <c r="B42" s="154"/>
      <c r="C42" s="1072"/>
      <c r="D42" s="1072"/>
      <c r="E42" s="1072"/>
      <c r="F42" s="1072"/>
      <c r="G42" s="1072"/>
      <c r="H42" s="1072"/>
      <c r="I42" s="1072"/>
      <c r="J42" s="1072"/>
      <c r="K42" s="1072"/>
      <c r="L42" s="1072"/>
      <c r="M42" s="1072"/>
    </row>
    <row r="43" spans="1:13" ht="15" customHeight="1" x14ac:dyDescent="0.3">
      <c r="A43" s="1073" t="s">
        <v>990</v>
      </c>
      <c r="B43" s="1074"/>
      <c r="C43" s="1074"/>
      <c r="D43" s="1074"/>
      <c r="E43" s="1074"/>
      <c r="F43" s="1074"/>
      <c r="G43" s="1074"/>
      <c r="H43" s="1074"/>
      <c r="I43" s="1074"/>
      <c r="J43" s="1074"/>
      <c r="K43" s="1074"/>
      <c r="L43" s="1074"/>
      <c r="M43" s="1074"/>
    </row>
    <row r="44" spans="1:13" ht="15" customHeight="1" x14ac:dyDescent="0.25">
      <c r="A44" s="498" t="s">
        <v>988</v>
      </c>
      <c r="B44"/>
      <c r="C44"/>
      <c r="D44"/>
      <c r="E44"/>
      <c r="F44"/>
      <c r="G44"/>
      <c r="H44"/>
      <c r="I44"/>
      <c r="J44"/>
      <c r="K44"/>
      <c r="L44" s="1079"/>
      <c r="M44" s="1080"/>
    </row>
    <row r="45" spans="1:13" ht="15" customHeight="1" x14ac:dyDescent="0.25">
      <c r="A45" s="498" t="s">
        <v>989</v>
      </c>
      <c r="B45" s="154"/>
      <c r="C45" s="497"/>
      <c r="D45" s="497"/>
      <c r="E45" s="497"/>
      <c r="F45" s="497"/>
      <c r="G45" s="497"/>
      <c r="H45" s="497"/>
      <c r="I45" s="497"/>
      <c r="J45" s="497"/>
      <c r="K45" s="497"/>
      <c r="L45" s="1075"/>
      <c r="M45" s="1076"/>
    </row>
    <row r="46" spans="1:13" ht="15" customHeight="1" x14ac:dyDescent="0.25">
      <c r="A46" s="496"/>
      <c r="B46" s="154"/>
      <c r="C46" s="497"/>
      <c r="D46" s="497"/>
      <c r="E46" s="497"/>
      <c r="F46" s="497"/>
      <c r="G46" s="497"/>
      <c r="H46" s="497"/>
      <c r="I46" s="497"/>
      <c r="J46" s="497"/>
      <c r="K46" s="497"/>
      <c r="L46" s="497"/>
      <c r="M46" s="497"/>
    </row>
    <row r="47" spans="1:13" ht="15" customHeight="1" x14ac:dyDescent="0.25">
      <c r="A47" s="496"/>
      <c r="B47" s="154"/>
      <c r="C47" s="497"/>
      <c r="D47" s="497"/>
      <c r="E47" s="497"/>
      <c r="F47" s="497"/>
      <c r="G47" s="497"/>
      <c r="H47" s="497"/>
      <c r="I47" s="497"/>
      <c r="J47" s="497"/>
      <c r="K47" s="497"/>
      <c r="L47" s="497"/>
      <c r="M47" s="497"/>
    </row>
    <row r="48" spans="1:13" ht="15" customHeight="1" x14ac:dyDescent="0.25">
      <c r="A48" s="496"/>
      <c r="B48" s="154"/>
      <c r="C48" s="497"/>
      <c r="D48" s="497"/>
      <c r="E48" s="497"/>
      <c r="F48" s="497"/>
      <c r="G48" s="497"/>
      <c r="H48" s="497"/>
      <c r="I48" s="497"/>
      <c r="J48" s="497"/>
      <c r="K48" s="497"/>
      <c r="L48" s="497"/>
      <c r="M48" s="497"/>
    </row>
    <row r="49" spans="1:13" ht="15" customHeight="1" x14ac:dyDescent="0.25">
      <c r="A49" s="154"/>
      <c r="B49" s="154"/>
      <c r="C49" s="154"/>
      <c r="D49" s="154"/>
      <c r="E49" s="154"/>
      <c r="F49" s="154"/>
      <c r="G49" s="154"/>
      <c r="H49" s="154"/>
      <c r="I49" s="154"/>
      <c r="J49" s="154"/>
      <c r="K49" s="154"/>
      <c r="L49" s="154"/>
      <c r="M49" s="154"/>
    </row>
    <row r="50" spans="1:13" ht="15" customHeight="1" x14ac:dyDescent="0.25">
      <c r="A50" s="154"/>
      <c r="B50" s="154"/>
      <c r="C50" s="154"/>
      <c r="D50" s="154"/>
      <c r="E50" s="154"/>
      <c r="F50" s="154"/>
      <c r="G50" s="154"/>
      <c r="H50" s="154"/>
      <c r="I50" s="154"/>
      <c r="J50" s="154"/>
      <c r="K50" s="154"/>
      <c r="L50" s="154"/>
      <c r="M50" s="154"/>
    </row>
    <row r="51" spans="1:13" ht="15" customHeight="1" x14ac:dyDescent="0.25">
      <c r="A51" s="154"/>
      <c r="B51" s="154"/>
      <c r="C51" s="154"/>
      <c r="D51" s="154"/>
      <c r="E51" s="154"/>
      <c r="F51" s="154"/>
      <c r="G51" s="154"/>
      <c r="H51" s="154"/>
      <c r="I51" s="154"/>
      <c r="J51" s="154"/>
      <c r="K51" s="154"/>
      <c r="L51" s="154"/>
      <c r="M51" s="154"/>
    </row>
    <row r="52" spans="1:13" ht="15" customHeight="1" x14ac:dyDescent="0.25">
      <c r="A52" s="154"/>
      <c r="B52" s="154"/>
      <c r="C52" s="154"/>
      <c r="D52" s="154"/>
      <c r="E52" s="154"/>
      <c r="F52" s="154"/>
      <c r="G52" s="154"/>
      <c r="H52" s="154"/>
      <c r="I52" s="154"/>
      <c r="J52" s="154"/>
      <c r="K52" s="154"/>
      <c r="L52" s="154"/>
      <c r="M52" s="154"/>
    </row>
    <row r="53" spans="1:13" ht="15" customHeight="1" x14ac:dyDescent="0.25">
      <c r="A53" s="154"/>
      <c r="B53" s="154"/>
      <c r="C53" s="154"/>
      <c r="D53" s="154"/>
      <c r="E53" s="154"/>
      <c r="F53" s="154"/>
      <c r="G53" s="154"/>
      <c r="H53" s="154"/>
      <c r="I53" s="154"/>
      <c r="J53" s="154"/>
      <c r="K53" s="154"/>
      <c r="L53" s="154"/>
      <c r="M53" s="154"/>
    </row>
    <row r="54" spans="1:13" ht="15" customHeight="1" x14ac:dyDescent="0.25">
      <c r="A54" s="154"/>
      <c r="B54" s="154"/>
      <c r="C54" s="154"/>
      <c r="D54" s="154"/>
      <c r="E54" s="154"/>
      <c r="F54" s="154"/>
      <c r="G54" s="154"/>
      <c r="H54" s="154"/>
      <c r="I54" s="154"/>
      <c r="J54" s="154"/>
      <c r="K54" s="154"/>
      <c r="L54" s="154"/>
      <c r="M54" s="154"/>
    </row>
    <row r="55" spans="1:13" ht="15" customHeight="1" x14ac:dyDescent="0.25">
      <c r="A55" s="154"/>
      <c r="B55" s="154"/>
      <c r="C55" s="154"/>
      <c r="D55" s="154"/>
      <c r="E55" s="154"/>
      <c r="F55" s="154"/>
      <c r="G55" s="154"/>
      <c r="H55" s="154"/>
      <c r="I55" s="154"/>
      <c r="J55" s="154"/>
      <c r="K55" s="154"/>
      <c r="L55" s="154"/>
      <c r="M55" s="154"/>
    </row>
    <row r="56" spans="1:13" ht="15" customHeight="1" x14ac:dyDescent="0.25">
      <c r="A56" s="154"/>
      <c r="B56" s="154"/>
      <c r="C56" s="154"/>
      <c r="D56" s="154"/>
      <c r="E56" s="154"/>
      <c r="F56" s="154"/>
      <c r="G56" s="154"/>
      <c r="H56" s="154"/>
      <c r="I56" s="154"/>
      <c r="J56" s="154"/>
      <c r="K56" s="154"/>
      <c r="L56" s="154"/>
      <c r="M56" s="154"/>
    </row>
    <row r="57" spans="1:13" ht="15" customHeight="1" x14ac:dyDescent="0.25">
      <c r="A57" s="154"/>
      <c r="B57" s="154"/>
      <c r="C57" s="154"/>
      <c r="D57" s="154"/>
      <c r="E57" s="154"/>
      <c r="F57" s="154"/>
      <c r="G57" s="154"/>
      <c r="H57" s="154"/>
      <c r="I57" s="154"/>
      <c r="J57" s="154"/>
      <c r="K57" s="154"/>
      <c r="L57" s="154"/>
      <c r="M57" s="154"/>
    </row>
    <row r="58" spans="1:13" ht="15" customHeight="1" x14ac:dyDescent="0.25">
      <c r="A58" s="154"/>
      <c r="B58" s="154"/>
      <c r="C58" s="154"/>
      <c r="D58" s="154"/>
      <c r="E58" s="154"/>
      <c r="F58" s="154"/>
      <c r="G58" s="154"/>
      <c r="H58" s="154"/>
      <c r="I58" s="154"/>
      <c r="J58" s="154"/>
      <c r="K58" s="154"/>
      <c r="L58" s="154"/>
      <c r="M58" s="154"/>
    </row>
    <row r="59" spans="1:13" ht="15" customHeight="1" x14ac:dyDescent="0.25">
      <c r="A59" s="154"/>
      <c r="B59" s="154"/>
      <c r="C59" s="154"/>
      <c r="D59" s="154"/>
      <c r="E59" s="154"/>
      <c r="F59" s="154"/>
      <c r="G59" s="154"/>
      <c r="H59" s="154"/>
      <c r="I59" s="154"/>
      <c r="J59" s="154"/>
      <c r="K59" s="154"/>
      <c r="L59" s="154"/>
      <c r="M59" s="154"/>
    </row>
    <row r="60" spans="1:13" ht="15" customHeight="1" x14ac:dyDescent="0.25">
      <c r="A60" s="154"/>
      <c r="B60" s="154"/>
      <c r="C60" s="154"/>
      <c r="D60" s="154"/>
      <c r="E60" s="154"/>
      <c r="F60" s="154"/>
      <c r="G60" s="154"/>
      <c r="H60" s="154"/>
      <c r="I60" s="154"/>
      <c r="J60" s="154"/>
      <c r="K60" s="154"/>
      <c r="L60" s="154"/>
      <c r="M60" s="154"/>
    </row>
    <row r="61" spans="1:13" ht="15" customHeight="1" x14ac:dyDescent="0.25">
      <c r="A61" s="154"/>
      <c r="B61" s="154"/>
      <c r="C61" s="154"/>
      <c r="D61" s="154"/>
      <c r="E61" s="154"/>
      <c r="F61" s="154"/>
      <c r="G61" s="154"/>
      <c r="H61" s="154"/>
      <c r="I61" s="154"/>
      <c r="J61" s="154"/>
      <c r="K61" s="154"/>
      <c r="L61" s="154"/>
      <c r="M61" s="154"/>
    </row>
    <row r="62" spans="1:13" ht="15" customHeight="1" x14ac:dyDescent="0.25">
      <c r="A62" s="154"/>
      <c r="B62" s="154"/>
      <c r="C62" s="154"/>
      <c r="D62" s="154"/>
      <c r="E62" s="154"/>
      <c r="F62" s="154"/>
      <c r="G62" s="154"/>
      <c r="H62" s="154"/>
      <c r="I62" s="154"/>
      <c r="J62" s="154"/>
      <c r="K62" s="154"/>
      <c r="L62" s="154"/>
      <c r="M62" s="154"/>
    </row>
    <row r="63" spans="1:13" ht="15" customHeight="1" x14ac:dyDescent="0.25">
      <c r="A63" s="154"/>
      <c r="B63" s="154"/>
      <c r="C63" s="154"/>
      <c r="D63" s="154"/>
      <c r="E63" s="154"/>
      <c r="F63" s="154"/>
      <c r="G63" s="154"/>
      <c r="H63" s="154"/>
      <c r="I63" s="154"/>
      <c r="J63" s="154"/>
      <c r="K63" s="154"/>
      <c r="L63" s="154"/>
      <c r="M63" s="154"/>
    </row>
    <row r="64" spans="1:13" ht="15" customHeight="1" x14ac:dyDescent="0.25">
      <c r="A64" s="154"/>
      <c r="B64" s="154"/>
      <c r="C64" s="154"/>
      <c r="D64" s="154"/>
      <c r="E64" s="154"/>
      <c r="F64" s="154"/>
      <c r="G64" s="154"/>
      <c r="H64" s="154"/>
      <c r="I64" s="154"/>
      <c r="J64" s="154"/>
      <c r="K64" s="154"/>
      <c r="L64" s="154"/>
      <c r="M64" s="154"/>
    </row>
    <row r="65" spans="1:13" ht="15" customHeight="1" x14ac:dyDescent="0.25">
      <c r="A65" s="154"/>
      <c r="B65" s="154"/>
      <c r="C65" s="154"/>
      <c r="D65" s="154"/>
      <c r="E65" s="154"/>
      <c r="F65" s="154"/>
      <c r="G65" s="154"/>
      <c r="H65" s="154"/>
      <c r="I65" s="154"/>
      <c r="J65" s="154"/>
      <c r="K65" s="154"/>
      <c r="L65" s="154"/>
      <c r="M65" s="154"/>
    </row>
    <row r="66" spans="1:13" ht="15" customHeight="1" x14ac:dyDescent="0.25">
      <c r="A66" s="154"/>
      <c r="B66" s="154"/>
      <c r="C66" s="154"/>
      <c r="D66" s="154"/>
      <c r="E66" s="154"/>
      <c r="F66" s="154"/>
      <c r="G66" s="154"/>
      <c r="H66" s="154"/>
      <c r="I66" s="154"/>
      <c r="J66" s="154"/>
      <c r="K66" s="154"/>
      <c r="L66" s="154"/>
      <c r="M66" s="154"/>
    </row>
    <row r="67" spans="1:13" ht="15" customHeight="1" x14ac:dyDescent="0.25">
      <c r="A67" s="154"/>
      <c r="B67" s="154"/>
      <c r="C67" s="154"/>
      <c r="D67" s="154"/>
      <c r="E67" s="154"/>
      <c r="F67" s="154"/>
      <c r="G67" s="154"/>
      <c r="H67" s="154"/>
      <c r="I67" s="154"/>
      <c r="J67" s="154"/>
      <c r="K67" s="154"/>
      <c r="L67" s="154"/>
      <c r="M67" s="154"/>
    </row>
    <row r="68" spans="1:13" ht="15" customHeight="1" x14ac:dyDescent="0.25">
      <c r="A68" s="154"/>
      <c r="B68" s="154"/>
      <c r="C68" s="154"/>
      <c r="D68" s="154"/>
      <c r="E68" s="154"/>
      <c r="F68" s="154"/>
      <c r="G68" s="154"/>
      <c r="H68" s="154"/>
      <c r="I68" s="154"/>
      <c r="J68" s="154"/>
      <c r="K68" s="154"/>
      <c r="L68" s="154"/>
      <c r="M68" s="154"/>
    </row>
    <row r="69" spans="1:13" ht="15" customHeight="1" x14ac:dyDescent="0.25">
      <c r="A69" s="154"/>
      <c r="B69" s="154"/>
      <c r="C69" s="154"/>
      <c r="D69" s="154"/>
      <c r="E69" s="154"/>
      <c r="F69" s="154"/>
      <c r="G69" s="154"/>
      <c r="H69" s="154"/>
      <c r="I69" s="154"/>
      <c r="J69" s="154"/>
      <c r="K69" s="154"/>
      <c r="L69" s="154"/>
      <c r="M69" s="154"/>
    </row>
    <row r="70" spans="1:13" ht="15" customHeight="1" x14ac:dyDescent="0.25">
      <c r="A70" s="154"/>
      <c r="B70" s="154"/>
      <c r="C70" s="154"/>
      <c r="D70" s="154"/>
      <c r="E70" s="154"/>
      <c r="F70" s="154"/>
      <c r="G70" s="154"/>
      <c r="H70" s="154"/>
      <c r="I70" s="154"/>
      <c r="J70" s="154"/>
      <c r="K70" s="154"/>
      <c r="L70" s="154"/>
      <c r="M70" s="154"/>
    </row>
    <row r="71" spans="1:13" ht="15" customHeight="1" x14ac:dyDescent="0.25">
      <c r="A71" s="154"/>
      <c r="B71" s="154"/>
      <c r="C71" s="154"/>
      <c r="D71" s="154"/>
      <c r="E71" s="154"/>
      <c r="F71" s="154"/>
      <c r="G71" s="154"/>
      <c r="H71" s="154"/>
      <c r="I71" s="154"/>
      <c r="J71" s="154"/>
      <c r="K71" s="154"/>
      <c r="L71" s="154"/>
      <c r="M71" s="154"/>
    </row>
    <row r="72" spans="1:13" ht="15" customHeight="1" x14ac:dyDescent="0.25">
      <c r="A72" s="154"/>
      <c r="B72" s="154"/>
      <c r="C72" s="154"/>
      <c r="D72" s="154"/>
      <c r="E72" s="154"/>
      <c r="F72" s="154"/>
      <c r="G72" s="154"/>
      <c r="H72" s="154"/>
      <c r="I72" s="154"/>
      <c r="J72" s="154"/>
      <c r="K72" s="154"/>
      <c r="L72" s="154"/>
      <c r="M72" s="154"/>
    </row>
    <row r="73" spans="1:13" ht="15" customHeight="1" x14ac:dyDescent="0.25">
      <c r="A73" s="154"/>
      <c r="B73" s="154"/>
      <c r="C73" s="154"/>
      <c r="D73" s="154"/>
      <c r="E73" s="154"/>
      <c r="F73" s="154"/>
      <c r="G73" s="154"/>
      <c r="H73" s="154"/>
      <c r="I73" s="154"/>
      <c r="J73" s="154"/>
      <c r="K73" s="154"/>
      <c r="L73" s="154"/>
      <c r="M73" s="154"/>
    </row>
    <row r="74" spans="1:13" ht="15" customHeight="1" x14ac:dyDescent="0.25">
      <c r="A74" s="154"/>
      <c r="B74" s="154"/>
      <c r="C74" s="154"/>
      <c r="D74" s="154"/>
      <c r="E74" s="154"/>
      <c r="F74" s="154"/>
      <c r="G74" s="154"/>
      <c r="H74" s="154"/>
      <c r="I74" s="154"/>
      <c r="J74" s="154"/>
      <c r="K74" s="154"/>
      <c r="L74" s="154"/>
      <c r="M74" s="154"/>
    </row>
    <row r="75" spans="1:13" ht="15" customHeight="1" x14ac:dyDescent="0.25">
      <c r="A75" s="154"/>
      <c r="B75" s="154"/>
      <c r="C75" s="154"/>
      <c r="D75" s="154"/>
      <c r="E75" s="154"/>
      <c r="F75" s="154"/>
      <c r="G75" s="154"/>
      <c r="H75" s="154"/>
      <c r="I75" s="154"/>
      <c r="J75" s="154"/>
      <c r="K75" s="154"/>
      <c r="L75" s="154"/>
      <c r="M75" s="154"/>
    </row>
    <row r="76" spans="1:13" ht="15" customHeight="1" x14ac:dyDescent="0.25">
      <c r="A76" s="154"/>
      <c r="B76" s="154"/>
      <c r="C76" s="154"/>
      <c r="D76" s="154"/>
      <c r="E76" s="154"/>
      <c r="F76" s="154"/>
      <c r="G76" s="154"/>
      <c r="H76" s="154"/>
      <c r="I76" s="154"/>
      <c r="J76" s="154"/>
      <c r="K76" s="154"/>
      <c r="L76" s="154"/>
      <c r="M76" s="154"/>
    </row>
    <row r="77" spans="1:13" ht="15" customHeight="1" x14ac:dyDescent="0.25">
      <c r="A77" s="154"/>
      <c r="B77" s="154"/>
      <c r="C77" s="154"/>
      <c r="D77" s="154"/>
      <c r="E77" s="154"/>
      <c r="F77" s="154"/>
      <c r="G77" s="154"/>
      <c r="H77" s="154"/>
      <c r="I77" s="154"/>
      <c r="J77" s="154"/>
      <c r="K77" s="154"/>
      <c r="L77" s="154"/>
      <c r="M77" s="154"/>
    </row>
    <row r="78" spans="1:13" ht="15" customHeight="1" x14ac:dyDescent="0.25">
      <c r="A78" s="154"/>
      <c r="B78" s="154"/>
      <c r="C78" s="154"/>
      <c r="D78" s="154"/>
      <c r="E78" s="154"/>
      <c r="F78" s="154"/>
      <c r="G78" s="154"/>
      <c r="H78" s="154"/>
      <c r="I78" s="154"/>
      <c r="J78" s="154"/>
      <c r="K78" s="154"/>
      <c r="L78" s="154"/>
      <c r="M78" s="154"/>
    </row>
    <row r="79" spans="1:13" ht="15" customHeight="1" x14ac:dyDescent="0.25">
      <c r="A79" s="154"/>
      <c r="B79" s="154"/>
      <c r="C79" s="154"/>
      <c r="D79" s="154"/>
      <c r="E79" s="154"/>
      <c r="F79" s="154"/>
      <c r="G79" s="154"/>
      <c r="H79" s="154"/>
      <c r="I79" s="154"/>
      <c r="J79" s="154"/>
      <c r="K79" s="154"/>
      <c r="L79" s="154"/>
      <c r="M79" s="154"/>
    </row>
    <row r="80" spans="1:13" ht="15" customHeight="1" x14ac:dyDescent="0.25">
      <c r="A80" s="154"/>
      <c r="B80" s="154"/>
      <c r="C80" s="154"/>
      <c r="D80" s="154"/>
      <c r="E80" s="154"/>
      <c r="F80" s="154"/>
      <c r="G80" s="154"/>
      <c r="H80" s="154"/>
      <c r="I80" s="154"/>
      <c r="J80" s="154"/>
      <c r="K80" s="154"/>
      <c r="L80" s="154"/>
      <c r="M80" s="154"/>
    </row>
    <row r="81" spans="1:13" ht="15" customHeight="1" x14ac:dyDescent="0.25">
      <c r="A81" s="154"/>
      <c r="B81" s="154"/>
      <c r="C81" s="154"/>
      <c r="D81" s="154"/>
      <c r="E81" s="154"/>
      <c r="F81" s="154"/>
      <c r="G81" s="154"/>
      <c r="H81" s="154"/>
      <c r="I81" s="154"/>
      <c r="J81" s="154"/>
      <c r="K81" s="154"/>
      <c r="L81" s="154"/>
      <c r="M81" s="154"/>
    </row>
    <row r="82" spans="1:13" ht="15" customHeight="1" x14ac:dyDescent="0.25">
      <c r="A82" s="154"/>
      <c r="B82" s="154"/>
      <c r="C82" s="154"/>
      <c r="D82" s="154"/>
      <c r="E82" s="154"/>
      <c r="F82" s="154"/>
      <c r="G82" s="154"/>
      <c r="H82" s="154"/>
      <c r="I82" s="154"/>
      <c r="J82" s="154"/>
      <c r="K82" s="154"/>
      <c r="L82" s="154"/>
      <c r="M82" s="154"/>
    </row>
    <row r="83" spans="1:13" ht="15" customHeight="1" x14ac:dyDescent="0.25">
      <c r="A83" s="154"/>
      <c r="B83" s="154"/>
      <c r="C83" s="154"/>
      <c r="D83" s="154"/>
      <c r="E83" s="154"/>
      <c r="F83" s="154"/>
      <c r="G83" s="154"/>
      <c r="H83" s="154"/>
      <c r="I83" s="154"/>
      <c r="J83" s="154"/>
      <c r="K83" s="154"/>
      <c r="L83" s="154"/>
      <c r="M83" s="154"/>
    </row>
    <row r="84" spans="1:13" ht="15" customHeight="1" x14ac:dyDescent="0.25">
      <c r="A84" s="154"/>
      <c r="B84" s="154"/>
      <c r="C84" s="154"/>
      <c r="D84" s="154"/>
      <c r="E84" s="154"/>
      <c r="F84" s="154"/>
      <c r="G84" s="154"/>
      <c r="H84" s="154"/>
      <c r="I84" s="154"/>
      <c r="J84" s="154"/>
      <c r="K84" s="154"/>
      <c r="L84" s="154"/>
      <c r="M84" s="154"/>
    </row>
    <row r="85" spans="1:13" ht="15" customHeight="1" x14ac:dyDescent="0.25">
      <c r="A85" s="154"/>
      <c r="B85" s="154"/>
      <c r="C85" s="154"/>
      <c r="D85" s="154"/>
      <c r="E85" s="154"/>
      <c r="F85" s="154"/>
      <c r="G85" s="154"/>
      <c r="H85" s="154"/>
      <c r="I85" s="154"/>
      <c r="J85" s="154"/>
      <c r="K85" s="154"/>
      <c r="L85" s="154"/>
      <c r="M85" s="154"/>
    </row>
    <row r="86" spans="1:13" ht="15" customHeight="1" x14ac:dyDescent="0.25">
      <c r="A86" s="154"/>
      <c r="B86" s="154"/>
      <c r="C86" s="154"/>
      <c r="D86" s="154"/>
      <c r="E86" s="154"/>
      <c r="F86" s="154"/>
      <c r="G86" s="154"/>
      <c r="H86" s="154"/>
      <c r="I86" s="154"/>
      <c r="J86" s="154"/>
      <c r="K86" s="154"/>
      <c r="L86" s="154"/>
      <c r="M86" s="154"/>
    </row>
    <row r="87" spans="1:13" ht="15" customHeight="1" x14ac:dyDescent="0.25">
      <c r="A87" s="154"/>
      <c r="B87" s="154"/>
      <c r="C87" s="154"/>
      <c r="D87" s="154"/>
      <c r="E87" s="154"/>
      <c r="F87" s="154"/>
      <c r="G87" s="154"/>
      <c r="H87" s="154"/>
      <c r="I87" s="154"/>
      <c r="J87" s="154"/>
      <c r="K87" s="154"/>
      <c r="L87" s="154"/>
      <c r="M87" s="154"/>
    </row>
    <row r="88" spans="1:13" ht="15" customHeight="1" x14ac:dyDescent="0.25">
      <c r="A88" s="154"/>
      <c r="B88" s="154"/>
      <c r="C88" s="154"/>
      <c r="D88" s="154"/>
      <c r="E88" s="154"/>
      <c r="F88" s="154"/>
      <c r="G88" s="154"/>
      <c r="H88" s="154"/>
      <c r="I88" s="154"/>
      <c r="J88" s="154"/>
      <c r="K88" s="154"/>
      <c r="L88" s="154"/>
      <c r="M88" s="154"/>
    </row>
    <row r="89" spans="1:13" ht="15" customHeight="1" x14ac:dyDescent="0.25">
      <c r="A89" s="154"/>
      <c r="B89" s="154"/>
      <c r="C89" s="154"/>
      <c r="D89" s="154"/>
      <c r="E89" s="154"/>
      <c r="F89" s="154"/>
      <c r="G89" s="154"/>
      <c r="H89" s="154"/>
      <c r="I89" s="154"/>
      <c r="J89" s="154"/>
      <c r="K89" s="154"/>
      <c r="L89" s="154"/>
      <c r="M89" s="154"/>
    </row>
    <row r="90" spans="1:13" ht="15" customHeight="1" x14ac:dyDescent="0.25">
      <c r="A90" s="154"/>
      <c r="B90" s="154"/>
      <c r="C90" s="154"/>
      <c r="D90" s="154"/>
      <c r="E90" s="154"/>
      <c r="F90" s="154"/>
      <c r="G90" s="154"/>
      <c r="H90" s="154"/>
      <c r="I90" s="154"/>
      <c r="J90" s="154"/>
      <c r="K90" s="154"/>
      <c r="L90" s="154"/>
      <c r="M90" s="154"/>
    </row>
    <row r="91" spans="1:13" ht="15" customHeight="1" x14ac:dyDescent="0.25">
      <c r="A91" s="154"/>
      <c r="B91" s="154"/>
      <c r="C91" s="154"/>
      <c r="D91" s="154"/>
      <c r="E91" s="154"/>
      <c r="F91" s="154"/>
      <c r="G91" s="154"/>
      <c r="H91" s="154"/>
      <c r="I91" s="154"/>
      <c r="J91" s="154"/>
      <c r="K91" s="154"/>
      <c r="L91" s="154"/>
      <c r="M91" s="154"/>
    </row>
    <row r="92" spans="1:13" ht="15" customHeight="1" x14ac:dyDescent="0.25">
      <c r="A92" s="154"/>
      <c r="B92" s="154"/>
      <c r="C92" s="154"/>
      <c r="D92" s="154"/>
      <c r="E92" s="154"/>
      <c r="F92" s="154"/>
      <c r="G92" s="154"/>
      <c r="H92" s="154"/>
      <c r="I92" s="154"/>
      <c r="J92" s="154"/>
      <c r="K92" s="154"/>
      <c r="L92" s="154"/>
      <c r="M92" s="154"/>
    </row>
    <row r="93" spans="1:13" ht="15" customHeight="1" x14ac:dyDescent="0.25">
      <c r="A93" s="154"/>
      <c r="B93" s="154"/>
      <c r="C93" s="154"/>
      <c r="D93" s="154"/>
      <c r="E93" s="154"/>
      <c r="F93" s="154"/>
      <c r="G93" s="154"/>
      <c r="H93" s="154"/>
      <c r="I93" s="154"/>
      <c r="J93" s="154"/>
      <c r="K93" s="154"/>
      <c r="L93" s="154"/>
      <c r="M93" s="154"/>
    </row>
    <row r="94" spans="1:13" ht="15" customHeight="1" x14ac:dyDescent="0.25">
      <c r="A94" s="154"/>
      <c r="B94" s="154"/>
      <c r="C94" s="154"/>
      <c r="D94" s="154"/>
      <c r="E94" s="154"/>
      <c r="F94" s="154"/>
      <c r="G94" s="154"/>
      <c r="H94" s="154"/>
      <c r="I94" s="154"/>
      <c r="J94" s="154"/>
      <c r="K94" s="154"/>
      <c r="L94" s="154"/>
      <c r="M94" s="154"/>
    </row>
    <row r="95" spans="1:13" ht="15" customHeight="1" x14ac:dyDescent="0.25">
      <c r="A95" s="154"/>
      <c r="B95" s="154"/>
      <c r="C95" s="154"/>
      <c r="D95" s="154"/>
      <c r="E95" s="154"/>
      <c r="F95" s="154"/>
      <c r="G95" s="154"/>
      <c r="H95" s="154"/>
      <c r="I95" s="154"/>
      <c r="J95" s="154"/>
      <c r="K95" s="154"/>
      <c r="L95" s="154"/>
      <c r="M95" s="154"/>
    </row>
    <row r="96" spans="1:13" ht="15" customHeight="1" x14ac:dyDescent="0.25">
      <c r="A96" s="154"/>
      <c r="B96" s="154"/>
      <c r="C96" s="154"/>
      <c r="D96" s="154"/>
      <c r="E96" s="154"/>
      <c r="F96" s="154"/>
      <c r="G96" s="154"/>
      <c r="H96" s="154"/>
      <c r="I96" s="154"/>
      <c r="J96" s="154"/>
      <c r="K96" s="154"/>
      <c r="L96" s="154"/>
      <c r="M96" s="154"/>
    </row>
    <row r="97" spans="1:13" ht="15" customHeight="1" x14ac:dyDescent="0.25">
      <c r="A97" s="154"/>
      <c r="B97" s="154"/>
      <c r="C97" s="154"/>
      <c r="D97" s="154"/>
      <c r="E97" s="154"/>
      <c r="F97" s="154"/>
      <c r="G97" s="154"/>
      <c r="H97" s="154"/>
      <c r="I97" s="154"/>
      <c r="J97" s="154"/>
      <c r="K97" s="154"/>
      <c r="L97" s="154"/>
      <c r="M97" s="154"/>
    </row>
    <row r="98" spans="1:13" ht="15" customHeight="1" x14ac:dyDescent="0.25">
      <c r="A98" s="154"/>
      <c r="B98" s="154"/>
      <c r="C98" s="154"/>
      <c r="D98" s="154"/>
      <c r="E98" s="154"/>
      <c r="F98" s="154"/>
      <c r="G98" s="154"/>
      <c r="H98" s="154"/>
      <c r="I98" s="154"/>
      <c r="J98" s="154"/>
      <c r="K98" s="154"/>
      <c r="L98" s="154"/>
      <c r="M98" s="154"/>
    </row>
    <row r="99" spans="1:13" ht="15" customHeight="1" x14ac:dyDescent="0.25">
      <c r="A99" s="154"/>
      <c r="B99" s="154"/>
      <c r="C99" s="154"/>
      <c r="D99" s="154"/>
      <c r="E99" s="154"/>
      <c r="F99" s="154"/>
      <c r="G99" s="154"/>
      <c r="H99" s="154"/>
      <c r="I99" s="154"/>
      <c r="J99" s="154"/>
      <c r="K99" s="154"/>
      <c r="L99" s="154"/>
      <c r="M99" s="154"/>
    </row>
    <row r="100" spans="1:13" ht="15" customHeight="1" x14ac:dyDescent="0.25">
      <c r="A100" s="154"/>
      <c r="B100" s="154"/>
      <c r="C100" s="154"/>
      <c r="D100" s="154"/>
      <c r="E100" s="154"/>
      <c r="F100" s="154"/>
      <c r="G100" s="154"/>
      <c r="H100" s="154"/>
      <c r="I100" s="154"/>
      <c r="J100" s="154"/>
      <c r="K100" s="154"/>
      <c r="L100" s="154"/>
      <c r="M100" s="154"/>
    </row>
    <row r="101" spans="1:13" ht="15" customHeight="1" x14ac:dyDescent="0.25">
      <c r="A101" s="154"/>
      <c r="B101" s="154"/>
      <c r="C101" s="154"/>
      <c r="D101" s="154"/>
      <c r="E101" s="154"/>
      <c r="F101" s="154"/>
      <c r="G101" s="154"/>
      <c r="H101" s="154"/>
      <c r="I101" s="154"/>
      <c r="J101" s="154"/>
      <c r="K101" s="154"/>
      <c r="L101" s="154"/>
      <c r="M101" s="154"/>
    </row>
    <row r="102" spans="1:13" ht="15" customHeight="1" x14ac:dyDescent="0.25">
      <c r="A102" s="154"/>
      <c r="B102" s="154"/>
      <c r="C102" s="154"/>
      <c r="D102" s="154"/>
      <c r="E102" s="154"/>
      <c r="F102" s="154"/>
      <c r="G102" s="154"/>
      <c r="H102" s="154"/>
      <c r="I102" s="154"/>
      <c r="J102" s="154"/>
      <c r="K102" s="154"/>
      <c r="L102" s="154"/>
      <c r="M102" s="154"/>
    </row>
    <row r="103" spans="1:13" ht="15" customHeight="1" x14ac:dyDescent="0.25">
      <c r="A103" s="154"/>
      <c r="B103" s="154"/>
      <c r="C103" s="154"/>
      <c r="D103" s="154"/>
      <c r="E103" s="154"/>
      <c r="F103" s="154"/>
      <c r="G103" s="154"/>
      <c r="H103" s="154"/>
      <c r="I103" s="154"/>
      <c r="J103" s="154"/>
      <c r="K103" s="154"/>
      <c r="L103" s="154"/>
      <c r="M103" s="154"/>
    </row>
    <row r="104" spans="1:13" ht="15" customHeight="1" x14ac:dyDescent="0.25">
      <c r="A104" s="154"/>
      <c r="B104" s="154"/>
      <c r="C104" s="154"/>
      <c r="D104" s="154"/>
      <c r="E104" s="154"/>
      <c r="F104" s="154"/>
      <c r="G104" s="154"/>
      <c r="H104" s="154"/>
      <c r="I104" s="154"/>
      <c r="J104" s="154"/>
      <c r="K104" s="154"/>
      <c r="L104" s="154"/>
      <c r="M104" s="154"/>
    </row>
    <row r="105" spans="1:13" ht="15" customHeight="1" x14ac:dyDescent="0.25">
      <c r="A105" s="154"/>
      <c r="B105" s="154"/>
      <c r="C105" s="154"/>
      <c r="D105" s="154"/>
      <c r="E105" s="154"/>
      <c r="F105" s="154"/>
      <c r="G105" s="154"/>
      <c r="H105" s="154"/>
      <c r="I105" s="154"/>
      <c r="J105" s="154"/>
      <c r="K105" s="154"/>
      <c r="L105" s="154"/>
      <c r="M105" s="154"/>
    </row>
    <row r="106" spans="1:13" ht="15" customHeight="1" x14ac:dyDescent="0.25">
      <c r="A106" s="154"/>
      <c r="B106" s="154"/>
      <c r="C106" s="154"/>
      <c r="D106" s="154"/>
      <c r="E106" s="154"/>
      <c r="F106" s="154"/>
      <c r="G106" s="154"/>
      <c r="H106" s="154"/>
      <c r="I106" s="154"/>
      <c r="J106" s="154"/>
      <c r="K106" s="154"/>
      <c r="L106" s="154"/>
      <c r="M106" s="154"/>
    </row>
    <row r="107" spans="1:13" ht="15" customHeight="1" x14ac:dyDescent="0.25">
      <c r="A107" s="154"/>
      <c r="B107" s="154"/>
      <c r="C107" s="154"/>
      <c r="D107" s="154"/>
      <c r="E107" s="154"/>
      <c r="F107" s="154"/>
      <c r="G107" s="154"/>
      <c r="H107" s="154"/>
      <c r="I107" s="154"/>
      <c r="J107" s="154"/>
      <c r="K107" s="154"/>
      <c r="L107" s="154"/>
      <c r="M107" s="154"/>
    </row>
    <row r="108" spans="1:13" ht="15" customHeight="1" x14ac:dyDescent="0.25">
      <c r="A108" s="154"/>
      <c r="B108" s="154"/>
      <c r="C108" s="154"/>
      <c r="D108" s="154"/>
      <c r="E108" s="154"/>
      <c r="F108" s="154"/>
      <c r="G108" s="154"/>
      <c r="H108" s="154"/>
      <c r="I108" s="154"/>
      <c r="J108" s="154"/>
      <c r="K108" s="154"/>
      <c r="L108" s="154"/>
      <c r="M108" s="154"/>
    </row>
    <row r="109" spans="1:13" ht="15" customHeight="1" x14ac:dyDescent="0.25">
      <c r="A109" s="154"/>
      <c r="B109" s="154"/>
      <c r="C109" s="154"/>
      <c r="D109" s="154"/>
      <c r="E109" s="154"/>
      <c r="F109" s="154"/>
      <c r="G109" s="154"/>
      <c r="H109" s="154"/>
      <c r="I109" s="154"/>
      <c r="J109" s="154"/>
      <c r="K109" s="154"/>
      <c r="L109" s="154"/>
      <c r="M109" s="154"/>
    </row>
    <row r="110" spans="1:13" ht="15" customHeight="1" x14ac:dyDescent="0.25">
      <c r="A110" s="154"/>
      <c r="B110" s="154"/>
      <c r="C110" s="154"/>
      <c r="D110" s="154"/>
      <c r="E110" s="154"/>
      <c r="F110" s="154"/>
      <c r="G110" s="154"/>
      <c r="H110" s="154"/>
      <c r="I110" s="154"/>
      <c r="J110" s="154"/>
      <c r="K110" s="154"/>
      <c r="L110" s="154"/>
      <c r="M110" s="154"/>
    </row>
    <row r="111" spans="1:13" ht="15" customHeight="1" x14ac:dyDescent="0.25">
      <c r="A111" s="154"/>
      <c r="B111" s="154"/>
      <c r="C111" s="154"/>
      <c r="D111" s="154"/>
      <c r="E111" s="154"/>
      <c r="F111" s="154"/>
      <c r="G111" s="154"/>
      <c r="H111" s="154"/>
      <c r="I111" s="154"/>
      <c r="J111" s="154"/>
      <c r="K111" s="154"/>
      <c r="L111" s="154"/>
      <c r="M111" s="154"/>
    </row>
    <row r="112" spans="1:13" ht="15" customHeight="1" x14ac:dyDescent="0.25">
      <c r="A112" s="154"/>
      <c r="B112" s="154"/>
      <c r="C112" s="154"/>
      <c r="D112" s="154"/>
      <c r="E112" s="154"/>
      <c r="F112" s="154"/>
      <c r="G112" s="154"/>
      <c r="H112" s="154"/>
      <c r="I112" s="154"/>
      <c r="J112" s="154"/>
      <c r="K112" s="154"/>
      <c r="L112" s="154"/>
      <c r="M112" s="154"/>
    </row>
    <row r="113" spans="1:13" ht="15" customHeight="1" x14ac:dyDescent="0.25">
      <c r="A113" s="154"/>
      <c r="B113" s="154"/>
      <c r="C113" s="154"/>
      <c r="D113" s="154"/>
      <c r="E113" s="154"/>
      <c r="F113" s="154"/>
      <c r="G113" s="154"/>
      <c r="H113" s="154"/>
      <c r="I113" s="154"/>
      <c r="J113" s="154"/>
      <c r="K113" s="154"/>
      <c r="L113" s="154"/>
      <c r="M113" s="154"/>
    </row>
    <row r="114" spans="1:13" ht="15" customHeight="1" x14ac:dyDescent="0.25">
      <c r="A114" s="154"/>
      <c r="B114" s="154"/>
      <c r="C114" s="154"/>
      <c r="D114" s="154"/>
      <c r="E114" s="154"/>
      <c r="F114" s="154"/>
      <c r="G114" s="154"/>
      <c r="H114" s="154"/>
      <c r="I114" s="154"/>
      <c r="J114" s="154"/>
      <c r="K114" s="154"/>
      <c r="L114" s="154"/>
      <c r="M114" s="154"/>
    </row>
    <row r="115" spans="1:13" ht="15" customHeight="1" x14ac:dyDescent="0.25">
      <c r="A115" s="154"/>
      <c r="B115" s="154"/>
      <c r="C115" s="154"/>
      <c r="D115" s="154"/>
      <c r="E115" s="154"/>
      <c r="F115" s="154"/>
      <c r="G115" s="154"/>
      <c r="H115" s="154"/>
      <c r="I115" s="154"/>
      <c r="J115" s="154"/>
      <c r="K115" s="154"/>
      <c r="L115" s="154"/>
      <c r="M115" s="154"/>
    </row>
    <row r="116" spans="1:13" ht="15" customHeight="1" x14ac:dyDescent="0.25">
      <c r="A116" s="154"/>
      <c r="B116" s="154"/>
      <c r="C116" s="154"/>
      <c r="D116" s="154"/>
      <c r="E116" s="154"/>
      <c r="F116" s="154"/>
      <c r="G116" s="154"/>
      <c r="H116" s="154"/>
      <c r="I116" s="154"/>
      <c r="J116" s="154"/>
      <c r="K116" s="154"/>
      <c r="L116" s="154"/>
      <c r="M116" s="154"/>
    </row>
    <row r="117" spans="1:13" ht="15" customHeight="1" x14ac:dyDescent="0.25">
      <c r="A117" s="154"/>
      <c r="B117" s="154"/>
      <c r="C117" s="154"/>
      <c r="D117" s="154"/>
      <c r="E117" s="154"/>
      <c r="F117" s="154"/>
      <c r="G117" s="154"/>
      <c r="H117" s="154"/>
      <c r="I117" s="154"/>
      <c r="J117" s="154"/>
      <c r="K117" s="154"/>
      <c r="L117" s="154"/>
      <c r="M117" s="154"/>
    </row>
    <row r="118" spans="1:13" ht="15" customHeight="1" x14ac:dyDescent="0.25">
      <c r="A118" s="154"/>
      <c r="B118" s="154"/>
      <c r="C118" s="154"/>
      <c r="D118" s="154"/>
      <c r="E118" s="154"/>
      <c r="F118" s="154"/>
      <c r="G118" s="154"/>
      <c r="H118" s="154"/>
      <c r="I118" s="154"/>
      <c r="J118" s="154"/>
      <c r="K118" s="154"/>
      <c r="L118" s="154"/>
      <c r="M118" s="154"/>
    </row>
    <row r="119" spans="1:13" ht="15" customHeight="1" x14ac:dyDescent="0.25">
      <c r="A119" s="154"/>
      <c r="B119" s="154"/>
      <c r="C119" s="154"/>
      <c r="D119" s="154"/>
      <c r="E119" s="154"/>
      <c r="F119" s="154"/>
      <c r="G119" s="154"/>
      <c r="H119" s="154"/>
      <c r="I119" s="154"/>
      <c r="J119" s="154"/>
      <c r="K119" s="154"/>
      <c r="L119" s="154"/>
      <c r="M119" s="154"/>
    </row>
    <row r="120" spans="1:13" ht="15" customHeight="1" x14ac:dyDescent="0.25">
      <c r="A120" s="154"/>
      <c r="B120" s="154"/>
      <c r="C120" s="154"/>
      <c r="D120" s="154"/>
      <c r="E120" s="154"/>
      <c r="F120" s="154"/>
      <c r="G120" s="154"/>
      <c r="H120" s="154"/>
      <c r="I120" s="154"/>
      <c r="J120" s="154"/>
      <c r="K120" s="154"/>
      <c r="L120" s="154"/>
      <c r="M120" s="154"/>
    </row>
    <row r="121" spans="1:13" ht="15" customHeight="1" x14ac:dyDescent="0.25">
      <c r="A121" s="154"/>
      <c r="B121" s="154"/>
      <c r="C121" s="154"/>
      <c r="D121" s="154"/>
      <c r="E121" s="154"/>
      <c r="F121" s="154"/>
      <c r="G121" s="154"/>
      <c r="H121" s="154"/>
      <c r="I121" s="154"/>
      <c r="J121" s="154"/>
      <c r="K121" s="154"/>
      <c r="L121" s="154"/>
      <c r="M121" s="154"/>
    </row>
    <row r="122" spans="1:13" ht="15" customHeight="1" x14ac:dyDescent="0.25">
      <c r="A122" s="154"/>
      <c r="B122" s="154"/>
      <c r="C122" s="154"/>
      <c r="D122" s="154"/>
      <c r="E122" s="154"/>
      <c r="F122" s="154"/>
      <c r="G122" s="154"/>
      <c r="H122" s="154"/>
      <c r="I122" s="154"/>
      <c r="J122" s="154"/>
      <c r="K122" s="154"/>
      <c r="L122" s="154"/>
      <c r="M122" s="154"/>
    </row>
    <row r="123" spans="1:13" ht="15" customHeight="1" x14ac:dyDescent="0.25">
      <c r="A123" s="154"/>
      <c r="B123" s="154"/>
      <c r="C123" s="154"/>
      <c r="D123" s="154"/>
      <c r="E123" s="154"/>
      <c r="F123" s="154"/>
      <c r="G123" s="154"/>
      <c r="H123" s="154"/>
      <c r="I123" s="154"/>
      <c r="J123" s="154"/>
      <c r="K123" s="154"/>
      <c r="L123" s="154"/>
      <c r="M123" s="154"/>
    </row>
    <row r="124" spans="1:13" ht="15" customHeight="1" x14ac:dyDescent="0.25">
      <c r="A124" s="154"/>
      <c r="B124" s="154"/>
      <c r="C124" s="154"/>
      <c r="D124" s="154"/>
      <c r="E124" s="154"/>
      <c r="F124" s="154"/>
      <c r="G124" s="154"/>
      <c r="H124" s="154"/>
      <c r="I124" s="154"/>
      <c r="J124" s="154"/>
      <c r="K124" s="154"/>
      <c r="L124" s="154"/>
      <c r="M124" s="154"/>
    </row>
    <row r="125" spans="1:13" ht="15" customHeight="1" x14ac:dyDescent="0.25">
      <c r="A125" s="154"/>
      <c r="B125" s="154"/>
      <c r="C125" s="154"/>
      <c r="D125" s="154"/>
      <c r="E125" s="154"/>
      <c r="F125" s="154"/>
      <c r="G125" s="154"/>
      <c r="H125" s="154"/>
      <c r="I125" s="154"/>
      <c r="J125" s="154"/>
      <c r="K125" s="154"/>
      <c r="L125" s="154"/>
      <c r="M125" s="154"/>
    </row>
    <row r="126" spans="1:13" ht="15" customHeight="1" x14ac:dyDescent="0.25">
      <c r="A126" s="154"/>
      <c r="B126" s="154"/>
      <c r="C126" s="154"/>
      <c r="D126" s="154"/>
      <c r="E126" s="154"/>
      <c r="F126" s="154"/>
      <c r="G126" s="154"/>
      <c r="H126" s="154"/>
      <c r="I126" s="154"/>
      <c r="J126" s="154"/>
      <c r="K126" s="154"/>
      <c r="L126" s="154"/>
      <c r="M126" s="154"/>
    </row>
    <row r="127" spans="1:13" ht="15" customHeight="1" x14ac:dyDescent="0.25">
      <c r="A127" s="154"/>
      <c r="B127" s="154"/>
      <c r="C127" s="154"/>
      <c r="D127" s="154"/>
      <c r="E127" s="154"/>
      <c r="F127" s="154"/>
      <c r="G127" s="154"/>
      <c r="H127" s="154"/>
      <c r="I127" s="154"/>
      <c r="J127" s="154"/>
      <c r="K127" s="154"/>
      <c r="L127" s="154"/>
      <c r="M127" s="154"/>
    </row>
    <row r="128" spans="1:13" ht="15" customHeight="1" x14ac:dyDescent="0.25">
      <c r="A128" s="154"/>
      <c r="B128" s="154"/>
      <c r="C128" s="154"/>
      <c r="D128" s="154"/>
      <c r="E128" s="154"/>
      <c r="F128" s="154"/>
      <c r="G128" s="154"/>
      <c r="H128" s="154"/>
      <c r="I128" s="154"/>
      <c r="J128" s="154"/>
      <c r="K128" s="154"/>
      <c r="L128" s="154"/>
      <c r="M128" s="154"/>
    </row>
    <row r="129" spans="1:13" ht="15" customHeight="1" x14ac:dyDescent="0.25">
      <c r="A129" s="154"/>
      <c r="B129" s="154"/>
      <c r="C129" s="154"/>
      <c r="D129" s="154"/>
      <c r="E129" s="154"/>
      <c r="F129" s="154"/>
      <c r="G129" s="154"/>
      <c r="H129" s="154"/>
      <c r="I129" s="154"/>
      <c r="J129" s="154"/>
      <c r="K129" s="154"/>
      <c r="L129" s="154"/>
      <c r="M129" s="154"/>
    </row>
    <row r="130" spans="1:13" ht="15" customHeight="1" x14ac:dyDescent="0.25">
      <c r="A130" s="154"/>
      <c r="B130" s="154"/>
      <c r="C130" s="154"/>
      <c r="D130" s="154"/>
      <c r="E130" s="154"/>
      <c r="F130" s="154"/>
      <c r="G130" s="154"/>
      <c r="H130" s="154"/>
      <c r="I130" s="154"/>
      <c r="J130" s="154"/>
      <c r="K130" s="154"/>
      <c r="L130" s="154"/>
      <c r="M130" s="154"/>
    </row>
    <row r="131" spans="1:13" ht="15" customHeight="1" x14ac:dyDescent="0.25">
      <c r="A131" s="154"/>
      <c r="B131" s="154"/>
      <c r="C131" s="154"/>
      <c r="D131" s="154"/>
      <c r="E131" s="154"/>
      <c r="F131" s="154"/>
      <c r="G131" s="154"/>
      <c r="H131" s="154"/>
      <c r="I131" s="154"/>
      <c r="J131" s="154"/>
      <c r="K131" s="154"/>
      <c r="L131" s="154"/>
      <c r="M131" s="154"/>
    </row>
    <row r="132" spans="1:13" ht="15" customHeight="1" x14ac:dyDescent="0.25">
      <c r="A132" s="154"/>
      <c r="B132" s="154"/>
      <c r="C132" s="154"/>
      <c r="D132" s="154"/>
      <c r="E132" s="154"/>
      <c r="F132" s="154"/>
      <c r="G132" s="154"/>
      <c r="H132" s="154"/>
      <c r="I132" s="154"/>
      <c r="J132" s="154"/>
      <c r="K132" s="154"/>
      <c r="L132" s="154"/>
      <c r="M132" s="154"/>
    </row>
    <row r="133" spans="1:13" ht="15" customHeight="1" x14ac:dyDescent="0.25">
      <c r="A133" s="154"/>
      <c r="B133" s="154"/>
      <c r="C133" s="154"/>
      <c r="D133" s="154"/>
      <c r="E133" s="154"/>
      <c r="F133" s="154"/>
      <c r="G133" s="154"/>
      <c r="H133" s="154"/>
      <c r="I133" s="154"/>
      <c r="J133" s="154"/>
      <c r="K133" s="154"/>
      <c r="L133" s="154"/>
      <c r="M133" s="154"/>
    </row>
    <row r="134" spans="1:13" ht="15" customHeight="1" x14ac:dyDescent="0.25">
      <c r="A134" s="154"/>
      <c r="B134" s="154"/>
      <c r="C134" s="154"/>
      <c r="D134" s="154"/>
      <c r="E134" s="154"/>
      <c r="F134" s="154"/>
      <c r="G134" s="154"/>
      <c r="H134" s="154"/>
      <c r="I134" s="154"/>
      <c r="J134" s="154"/>
      <c r="K134" s="154"/>
      <c r="L134" s="154"/>
      <c r="M134" s="154"/>
    </row>
    <row r="135" spans="1:13" ht="15" customHeight="1" x14ac:dyDescent="0.25">
      <c r="A135" s="154"/>
      <c r="B135" s="154"/>
      <c r="C135" s="154"/>
      <c r="D135" s="154"/>
      <c r="E135" s="154"/>
      <c r="F135" s="154"/>
      <c r="G135" s="154"/>
      <c r="H135" s="154"/>
      <c r="I135" s="154"/>
      <c r="J135" s="154"/>
      <c r="K135" s="154"/>
      <c r="L135" s="154"/>
      <c r="M135" s="154"/>
    </row>
    <row r="136" spans="1:13" ht="15" customHeight="1" x14ac:dyDescent="0.25">
      <c r="A136" s="154"/>
      <c r="B136" s="154"/>
      <c r="C136" s="154"/>
      <c r="D136" s="154"/>
      <c r="E136" s="154"/>
      <c r="F136" s="154"/>
      <c r="G136" s="154"/>
      <c r="H136" s="154"/>
      <c r="I136" s="154"/>
      <c r="J136" s="154"/>
      <c r="K136" s="154"/>
      <c r="L136" s="154"/>
      <c r="M136" s="154"/>
    </row>
    <row r="137" spans="1:13" ht="15" customHeight="1" x14ac:dyDescent="0.25">
      <c r="A137" s="154"/>
      <c r="B137" s="154"/>
      <c r="C137" s="154"/>
      <c r="D137" s="154"/>
      <c r="E137" s="154"/>
      <c r="F137" s="154"/>
      <c r="G137" s="154"/>
      <c r="H137" s="154"/>
      <c r="I137" s="154"/>
      <c r="J137" s="154"/>
      <c r="K137" s="154"/>
      <c r="L137" s="154"/>
      <c r="M137" s="154"/>
    </row>
    <row r="138" spans="1:13" ht="15" customHeight="1" x14ac:dyDescent="0.25">
      <c r="A138" s="154"/>
      <c r="B138" s="154"/>
      <c r="C138" s="154"/>
      <c r="D138" s="154"/>
      <c r="E138" s="154"/>
      <c r="F138" s="154"/>
      <c r="G138" s="154"/>
      <c r="H138" s="154"/>
      <c r="I138" s="154"/>
      <c r="J138" s="154"/>
      <c r="K138" s="154"/>
      <c r="L138" s="154"/>
      <c r="M138" s="154"/>
    </row>
    <row r="139" spans="1:13" ht="15" customHeight="1" x14ac:dyDescent="0.25">
      <c r="A139" s="154"/>
      <c r="B139" s="154"/>
      <c r="C139" s="154"/>
      <c r="D139" s="154"/>
      <c r="E139" s="154"/>
      <c r="F139" s="154"/>
      <c r="G139" s="154"/>
      <c r="H139" s="154"/>
      <c r="I139" s="154"/>
      <c r="J139" s="154"/>
      <c r="K139" s="154"/>
      <c r="L139" s="154"/>
      <c r="M139" s="154"/>
    </row>
    <row r="140" spans="1:13" ht="15" customHeight="1" x14ac:dyDescent="0.25">
      <c r="A140" s="154"/>
      <c r="B140" s="154"/>
      <c r="C140" s="154"/>
      <c r="D140" s="154"/>
      <c r="E140" s="154"/>
      <c r="F140" s="154"/>
      <c r="G140" s="154"/>
      <c r="H140" s="154"/>
      <c r="I140" s="154"/>
      <c r="J140" s="154"/>
      <c r="K140" s="154"/>
      <c r="L140" s="154"/>
      <c r="M140" s="154"/>
    </row>
    <row r="141" spans="1:13" ht="15" customHeight="1" x14ac:dyDescent="0.25">
      <c r="A141" s="154"/>
      <c r="B141" s="154"/>
      <c r="C141" s="154"/>
      <c r="D141" s="154"/>
      <c r="E141" s="154"/>
      <c r="F141" s="154"/>
      <c r="G141" s="154"/>
      <c r="H141" s="154"/>
      <c r="I141" s="154"/>
      <c r="J141" s="154"/>
      <c r="K141" s="154"/>
      <c r="L141" s="154"/>
      <c r="M141" s="154"/>
    </row>
    <row r="142" spans="1:13" ht="15" customHeight="1" x14ac:dyDescent="0.25">
      <c r="A142" s="154"/>
      <c r="B142" s="154"/>
      <c r="C142" s="154"/>
      <c r="D142" s="154"/>
      <c r="E142" s="154"/>
      <c r="F142" s="154"/>
      <c r="G142" s="154"/>
      <c r="H142" s="154"/>
      <c r="I142" s="154"/>
      <c r="J142" s="154"/>
      <c r="K142" s="154"/>
      <c r="L142" s="154"/>
      <c r="M142" s="154"/>
    </row>
    <row r="143" spans="1:13" ht="15" customHeight="1" x14ac:dyDescent="0.25">
      <c r="A143" s="154"/>
      <c r="B143" s="154"/>
      <c r="C143" s="154"/>
      <c r="D143" s="154"/>
      <c r="E143" s="154"/>
      <c r="F143" s="154"/>
      <c r="G143" s="154"/>
      <c r="H143" s="154"/>
      <c r="I143" s="154"/>
      <c r="J143" s="154"/>
      <c r="K143" s="154"/>
      <c r="L143" s="154"/>
      <c r="M143" s="154"/>
    </row>
    <row r="144" spans="1:13" ht="15" customHeight="1" x14ac:dyDescent="0.25">
      <c r="A144" s="154"/>
      <c r="B144" s="154"/>
      <c r="C144" s="154"/>
      <c r="D144" s="154"/>
      <c r="E144" s="154"/>
      <c r="F144" s="154"/>
      <c r="G144" s="154"/>
      <c r="H144" s="154"/>
      <c r="I144" s="154"/>
      <c r="J144" s="154"/>
      <c r="K144" s="154"/>
      <c r="L144" s="154"/>
      <c r="M144" s="154"/>
    </row>
    <row r="145" spans="1:13" ht="15" x14ac:dyDescent="0.25">
      <c r="A145" s="154"/>
      <c r="B145" s="154"/>
      <c r="C145" s="154"/>
      <c r="D145" s="154"/>
      <c r="E145" s="154"/>
      <c r="F145" s="154"/>
      <c r="G145" s="154"/>
      <c r="H145" s="154"/>
      <c r="I145" s="154"/>
      <c r="J145" s="154"/>
      <c r="K145" s="154"/>
      <c r="L145" s="154"/>
      <c r="M145" s="154"/>
    </row>
    <row r="146" spans="1:13" ht="15" x14ac:dyDescent="0.25">
      <c r="A146" s="154"/>
      <c r="B146" s="154"/>
      <c r="C146" s="154"/>
      <c r="D146" s="154"/>
      <c r="E146" s="154"/>
      <c r="F146" s="154"/>
      <c r="G146" s="154"/>
      <c r="H146" s="154"/>
      <c r="I146" s="154"/>
      <c r="J146" s="154"/>
      <c r="K146" s="154"/>
      <c r="L146" s="154"/>
      <c r="M146" s="154"/>
    </row>
    <row r="147" spans="1:13" ht="15" x14ac:dyDescent="0.25">
      <c r="A147" s="154"/>
      <c r="B147" s="154"/>
      <c r="C147" s="154"/>
      <c r="D147" s="154"/>
      <c r="E147" s="154"/>
      <c r="F147" s="154"/>
      <c r="G147" s="154"/>
      <c r="H147" s="154"/>
      <c r="I147" s="154"/>
      <c r="J147" s="154"/>
      <c r="K147" s="154"/>
      <c r="L147" s="154"/>
      <c r="M147" s="154"/>
    </row>
    <row r="148" spans="1:13" ht="15" x14ac:dyDescent="0.25">
      <c r="A148" s="154"/>
      <c r="B148" s="154"/>
      <c r="C148" s="154"/>
      <c r="D148" s="154"/>
      <c r="E148" s="154"/>
      <c r="F148" s="154"/>
      <c r="G148" s="154"/>
      <c r="H148" s="154"/>
      <c r="I148" s="154"/>
      <c r="J148" s="154"/>
      <c r="K148" s="154"/>
      <c r="L148" s="154"/>
      <c r="M148" s="154"/>
    </row>
    <row r="149" spans="1:13" ht="15" x14ac:dyDescent="0.25">
      <c r="A149" s="154"/>
      <c r="B149" s="154"/>
      <c r="C149" s="154"/>
      <c r="D149" s="154"/>
      <c r="E149" s="154"/>
      <c r="F149" s="154"/>
      <c r="G149" s="154"/>
      <c r="H149" s="154"/>
      <c r="I149" s="154"/>
      <c r="J149" s="154"/>
      <c r="K149" s="154"/>
      <c r="L149" s="154"/>
      <c r="M149" s="154"/>
    </row>
    <row r="150" spans="1:13" ht="15" x14ac:dyDescent="0.25">
      <c r="A150" s="154"/>
      <c r="B150" s="154"/>
      <c r="C150" s="154"/>
      <c r="D150" s="154"/>
      <c r="E150" s="154"/>
      <c r="F150" s="154"/>
      <c r="G150" s="154"/>
      <c r="H150" s="154"/>
      <c r="I150" s="154"/>
      <c r="J150" s="154"/>
      <c r="K150" s="154"/>
      <c r="L150" s="154"/>
      <c r="M150" s="154"/>
    </row>
    <row r="151" spans="1:13" ht="15" x14ac:dyDescent="0.25">
      <c r="A151" s="154"/>
      <c r="B151" s="154"/>
      <c r="C151" s="154"/>
      <c r="D151" s="154"/>
      <c r="E151" s="154"/>
      <c r="F151" s="154"/>
      <c r="G151" s="154"/>
      <c r="H151" s="154"/>
      <c r="I151" s="154"/>
      <c r="J151" s="154"/>
      <c r="K151" s="154"/>
      <c r="L151" s="154"/>
      <c r="M151" s="154"/>
    </row>
    <row r="152" spans="1:13" ht="15" x14ac:dyDescent="0.25">
      <c r="A152" s="154"/>
      <c r="B152" s="154"/>
      <c r="C152" s="154"/>
      <c r="D152" s="154"/>
      <c r="E152" s="154"/>
      <c r="F152" s="154"/>
      <c r="G152" s="154"/>
      <c r="H152" s="154"/>
      <c r="I152" s="154"/>
      <c r="J152" s="154"/>
      <c r="K152" s="154"/>
      <c r="L152" s="154"/>
      <c r="M152" s="154"/>
    </row>
    <row r="153" spans="1:13" ht="15" x14ac:dyDescent="0.25">
      <c r="A153" s="154"/>
      <c r="B153" s="154"/>
      <c r="C153" s="154"/>
      <c r="D153" s="154"/>
      <c r="E153" s="154"/>
      <c r="F153" s="154"/>
      <c r="G153" s="154"/>
      <c r="H153" s="154"/>
      <c r="I153" s="154"/>
      <c r="J153" s="154"/>
      <c r="K153" s="154"/>
      <c r="L153" s="154"/>
      <c r="M153" s="154"/>
    </row>
    <row r="154" spans="1:13" ht="15" x14ac:dyDescent="0.25">
      <c r="A154" s="154"/>
      <c r="B154" s="154"/>
      <c r="C154" s="154"/>
      <c r="D154" s="154"/>
      <c r="E154" s="154"/>
      <c r="F154" s="154"/>
      <c r="G154" s="154"/>
      <c r="H154" s="154"/>
      <c r="I154" s="154"/>
      <c r="J154" s="154"/>
      <c r="K154" s="154"/>
      <c r="L154" s="154"/>
      <c r="M154" s="154"/>
    </row>
    <row r="155" spans="1:13" ht="15" x14ac:dyDescent="0.25">
      <c r="A155" s="154"/>
      <c r="B155" s="154"/>
      <c r="C155" s="154"/>
      <c r="D155" s="154"/>
      <c r="E155" s="154"/>
      <c r="F155" s="154"/>
      <c r="G155" s="154"/>
      <c r="H155" s="154"/>
      <c r="I155" s="154"/>
      <c r="J155" s="154"/>
      <c r="K155" s="154"/>
      <c r="L155" s="154"/>
      <c r="M155" s="154"/>
    </row>
    <row r="156" spans="1:13" ht="15" x14ac:dyDescent="0.25">
      <c r="A156" s="154"/>
      <c r="B156" s="154"/>
      <c r="C156" s="154"/>
      <c r="D156" s="154"/>
      <c r="E156" s="154"/>
      <c r="F156" s="154"/>
      <c r="G156" s="154"/>
      <c r="H156" s="154"/>
      <c r="I156" s="154"/>
      <c r="J156" s="154"/>
      <c r="K156" s="154"/>
      <c r="L156" s="154"/>
      <c r="M156" s="154"/>
    </row>
    <row r="157" spans="1:13" ht="15" x14ac:dyDescent="0.25">
      <c r="A157" s="154"/>
      <c r="B157" s="154"/>
      <c r="C157" s="154"/>
      <c r="D157" s="154"/>
      <c r="E157" s="154"/>
      <c r="F157" s="154"/>
      <c r="G157" s="154"/>
      <c r="H157" s="154"/>
      <c r="I157" s="154"/>
      <c r="J157" s="154"/>
      <c r="K157" s="154"/>
      <c r="L157" s="154"/>
      <c r="M157" s="154"/>
    </row>
    <row r="158" spans="1:13" ht="15" x14ac:dyDescent="0.25">
      <c r="A158" s="154"/>
      <c r="B158" s="154"/>
      <c r="C158" s="154"/>
      <c r="D158" s="154"/>
      <c r="E158" s="154"/>
      <c r="F158" s="154"/>
      <c r="G158" s="154"/>
      <c r="H158" s="154"/>
      <c r="I158" s="154"/>
      <c r="J158" s="154"/>
      <c r="K158" s="154"/>
      <c r="L158" s="154"/>
      <c r="M158" s="154"/>
    </row>
    <row r="159" spans="1:13" ht="15" x14ac:dyDescent="0.25">
      <c r="A159" s="154"/>
      <c r="B159" s="154"/>
      <c r="C159" s="154"/>
      <c r="D159" s="154"/>
      <c r="E159" s="154"/>
      <c r="F159" s="154"/>
      <c r="G159" s="154"/>
      <c r="H159" s="154"/>
      <c r="I159" s="154"/>
      <c r="J159" s="154"/>
      <c r="K159" s="154"/>
      <c r="L159" s="154"/>
      <c r="M159" s="154"/>
    </row>
    <row r="160" spans="1:13" ht="15" x14ac:dyDescent="0.25">
      <c r="A160" s="154"/>
      <c r="B160" s="154"/>
      <c r="C160" s="154"/>
      <c r="D160" s="154"/>
      <c r="E160" s="154"/>
      <c r="F160" s="154"/>
      <c r="G160" s="154"/>
      <c r="H160" s="154"/>
      <c r="I160" s="154"/>
      <c r="J160" s="154"/>
      <c r="K160" s="154"/>
      <c r="L160" s="154"/>
      <c r="M160" s="154"/>
    </row>
    <row r="161" spans="1:13" ht="15" x14ac:dyDescent="0.25">
      <c r="A161" s="154"/>
      <c r="B161" s="154"/>
      <c r="C161" s="154"/>
      <c r="D161" s="154"/>
      <c r="E161" s="154"/>
      <c r="F161" s="154"/>
      <c r="G161" s="154"/>
      <c r="H161" s="154"/>
      <c r="I161" s="154"/>
      <c r="J161" s="154"/>
      <c r="K161" s="154"/>
      <c r="L161" s="154"/>
      <c r="M161" s="154"/>
    </row>
    <row r="162" spans="1:13" ht="15" x14ac:dyDescent="0.25">
      <c r="A162" s="154"/>
      <c r="B162" s="154"/>
      <c r="C162" s="154"/>
      <c r="D162" s="154"/>
      <c r="E162" s="154"/>
      <c r="F162" s="154"/>
      <c r="G162" s="154"/>
      <c r="H162" s="154"/>
      <c r="I162" s="154"/>
      <c r="J162" s="154"/>
      <c r="K162" s="154"/>
      <c r="L162" s="154"/>
      <c r="M162" s="154"/>
    </row>
    <row r="163" spans="1:13" ht="15" x14ac:dyDescent="0.25">
      <c r="A163" s="154"/>
      <c r="B163" s="154"/>
      <c r="C163" s="154"/>
      <c r="D163" s="154"/>
      <c r="E163" s="154"/>
      <c r="F163" s="154"/>
      <c r="G163" s="154"/>
      <c r="H163" s="154"/>
      <c r="I163" s="154"/>
      <c r="J163" s="154"/>
      <c r="K163" s="154"/>
      <c r="L163" s="154"/>
      <c r="M163" s="154"/>
    </row>
    <row r="164" spans="1:13" ht="15" x14ac:dyDescent="0.25">
      <c r="A164" s="154"/>
      <c r="B164" s="154"/>
      <c r="C164" s="154"/>
      <c r="D164" s="154"/>
      <c r="E164" s="154"/>
      <c r="F164" s="154"/>
      <c r="G164" s="154"/>
      <c r="H164" s="154"/>
      <c r="I164" s="154"/>
      <c r="J164" s="154"/>
      <c r="K164" s="154"/>
      <c r="L164" s="154"/>
      <c r="M164" s="154"/>
    </row>
    <row r="165" spans="1:13" ht="15" x14ac:dyDescent="0.25">
      <c r="A165" s="154"/>
      <c r="B165" s="154"/>
      <c r="C165" s="154"/>
      <c r="D165" s="154"/>
      <c r="E165" s="154"/>
      <c r="F165" s="154"/>
      <c r="G165" s="154"/>
      <c r="H165" s="154"/>
      <c r="I165" s="154"/>
      <c r="J165" s="154"/>
      <c r="K165" s="154"/>
      <c r="L165" s="154"/>
      <c r="M165" s="154"/>
    </row>
  </sheetData>
  <sheetProtection algorithmName="SHA-512" hashValue="GHday11GEdIjifVHoxOXLHTsDywqyxGcqhaFnYBRzinqmZlogJckUd2ro3BiGdV1Ihp7+ICenUTl3JSEkKj8lw==" saltValue="a4IjqLLkfIVhlMwGv3FMjQ==" spinCount="100000" sheet="1" objects="1" scenarios="1" autoFilter="0"/>
  <mergeCells count="43">
    <mergeCell ref="L45:M45"/>
    <mergeCell ref="J7:M7"/>
    <mergeCell ref="C11:M11"/>
    <mergeCell ref="N1:N3"/>
    <mergeCell ref="J5:M5"/>
    <mergeCell ref="J6:M6"/>
    <mergeCell ref="A1:M1"/>
    <mergeCell ref="A2:M2"/>
    <mergeCell ref="A3:M3"/>
    <mergeCell ref="C19:M19"/>
    <mergeCell ref="C12:M12"/>
    <mergeCell ref="C13:M13"/>
    <mergeCell ref="C14:M14"/>
    <mergeCell ref="L44:M44"/>
    <mergeCell ref="J8:M8"/>
    <mergeCell ref="C15:M15"/>
    <mergeCell ref="C16:M16"/>
    <mergeCell ref="C17:M17"/>
    <mergeCell ref="C18:M18"/>
    <mergeCell ref="C20:M20"/>
    <mergeCell ref="C23:M23"/>
    <mergeCell ref="C24:M24"/>
    <mergeCell ref="C25:M25"/>
    <mergeCell ref="C26:M26"/>
    <mergeCell ref="C21:M21"/>
    <mergeCell ref="C22:M22"/>
    <mergeCell ref="C35:M35"/>
    <mergeCell ref="C32:M32"/>
    <mergeCell ref="C33:M33"/>
    <mergeCell ref="C34:M34"/>
    <mergeCell ref="C27:M27"/>
    <mergeCell ref="C28:M28"/>
    <mergeCell ref="C29:M29"/>
    <mergeCell ref="C30:M30"/>
    <mergeCell ref="C31:M31"/>
    <mergeCell ref="C40:M40"/>
    <mergeCell ref="C41:M41"/>
    <mergeCell ref="C42:M42"/>
    <mergeCell ref="A43:M43"/>
    <mergeCell ref="C36:M36"/>
    <mergeCell ref="C37:M37"/>
    <mergeCell ref="C38:M38"/>
    <mergeCell ref="C39:M39"/>
  </mergeCells>
  <phoneticPr fontId="12" type="noConversion"/>
  <conditionalFormatting sqref="N1:N3">
    <cfRule type="cellIs" dxfId="1" priority="1" stopIfTrue="1" operator="equal">
      <formula>"na"</formula>
    </cfRule>
  </conditionalFormatting>
  <hyperlinks>
    <hyperlink ref="A1:M1" location="Index!A1" display="Index!A1" xr:uid="{00000000-0004-0000-1800-000000000000}"/>
  </hyperlinks>
  <pageMargins left="0.95" right="0.95" top="0.5" bottom="0.5" header="0.3" footer="0.3"/>
  <pageSetup scale="97" orientation="portrait" r:id="rId1"/>
  <headerFooter>
    <oddFooter>&amp;R&amp;A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61">
    <pageSetUpPr fitToPage="1"/>
  </sheetPr>
  <dimension ref="A1:AA40"/>
  <sheetViews>
    <sheetView showGridLines="0" zoomScaleNormal="100" workbookViewId="0">
      <selection activeCell="A2" sqref="A2:M2"/>
    </sheetView>
  </sheetViews>
  <sheetFormatPr defaultColWidth="9.109375" defaultRowHeight="10.199999999999999" x14ac:dyDescent="0.2"/>
  <cols>
    <col min="1" max="1" width="3" style="156" customWidth="1"/>
    <col min="2" max="2" width="11.5546875" style="156" customWidth="1"/>
    <col min="3" max="3" width="2.5546875" style="156" customWidth="1"/>
    <col min="4" max="4" width="10.5546875" style="156" customWidth="1"/>
    <col min="5" max="5" width="2.5546875" style="156" customWidth="1"/>
    <col min="6" max="6" width="4.5546875" style="156" customWidth="1"/>
    <col min="7" max="7" width="2.5546875" style="156" customWidth="1"/>
    <col min="8" max="8" width="4.109375" style="156" customWidth="1"/>
    <col min="9" max="9" width="14.5546875" style="156" customWidth="1"/>
    <col min="10" max="10" width="1.44140625" style="156" customWidth="1"/>
    <col min="11" max="11" width="13.44140625" style="156" customWidth="1"/>
    <col min="12" max="12" width="2.109375" style="156" customWidth="1"/>
    <col min="13" max="13" width="14.5546875" style="156" customWidth="1"/>
    <col min="14" max="14" width="4.5546875" style="156" customWidth="1"/>
    <col min="15" max="16384" width="9.109375" style="156"/>
  </cols>
  <sheetData>
    <row r="1" spans="1:27" s="148" customFormat="1" ht="15" customHeight="1" x14ac:dyDescent="0.3">
      <c r="A1" s="854" t="str">
        <f>+Index!$A$1</f>
        <v>Office of the State Controller</v>
      </c>
      <c r="B1" s="854"/>
      <c r="C1" s="854"/>
      <c r="D1" s="854"/>
      <c r="E1" s="854"/>
      <c r="F1" s="854"/>
      <c r="G1" s="854"/>
      <c r="H1" s="854"/>
      <c r="I1" s="854"/>
      <c r="J1" s="854"/>
      <c r="K1" s="854"/>
      <c r="L1" s="854"/>
      <c r="M1" s="854"/>
      <c r="N1" s="980" t="str">
        <f>IF(Index!$B$67="na","NA","")</f>
        <v/>
      </c>
      <c r="AA1" s="149"/>
    </row>
    <row r="2" spans="1:27" s="148" customFormat="1" ht="15" customHeight="1" x14ac:dyDescent="0.3">
      <c r="A2" s="1078" t="str">
        <f>Index!A2</f>
        <v>2022 ACFR Worksheets for Nonmajor Component Units</v>
      </c>
      <c r="B2" s="1078"/>
      <c r="C2" s="1078"/>
      <c r="D2" s="1078"/>
      <c r="E2" s="1078"/>
      <c r="F2" s="1078"/>
      <c r="G2" s="1078"/>
      <c r="H2" s="1078"/>
      <c r="I2" s="1078"/>
      <c r="J2" s="1078"/>
      <c r="K2" s="1078"/>
      <c r="L2" s="1078"/>
      <c r="M2" s="1078"/>
      <c r="N2" s="980"/>
    </row>
    <row r="3" spans="1:27" s="148" customFormat="1" ht="15" customHeight="1" x14ac:dyDescent="0.3">
      <c r="A3" s="1078" t="s">
        <v>171</v>
      </c>
      <c r="B3" s="1078"/>
      <c r="C3" s="1078"/>
      <c r="D3" s="1078"/>
      <c r="E3" s="1078"/>
      <c r="F3" s="1078"/>
      <c r="G3" s="1078"/>
      <c r="H3" s="1078"/>
      <c r="I3" s="1078"/>
      <c r="J3" s="1078"/>
      <c r="K3" s="1078"/>
      <c r="L3" s="1078"/>
      <c r="M3" s="1078"/>
      <c r="N3" s="980"/>
    </row>
    <row r="4" spans="1:27" s="150" customFormat="1" ht="15" customHeight="1" x14ac:dyDescent="0.25">
      <c r="H4" s="151"/>
    </row>
    <row r="5" spans="1:27" s="150" customFormat="1" ht="15" customHeight="1" x14ac:dyDescent="0.25">
      <c r="D5" s="151"/>
      <c r="I5" s="39" t="s">
        <v>357</v>
      </c>
      <c r="J5" s="908" t="str">
        <f>Index!$D$10</f>
        <v>0A</v>
      </c>
      <c r="K5" s="908"/>
      <c r="L5" s="908"/>
      <c r="M5" s="908"/>
    </row>
    <row r="6" spans="1:27" s="150" customFormat="1" ht="15" customHeight="1" x14ac:dyDescent="0.25">
      <c r="I6" s="39" t="s">
        <v>358</v>
      </c>
      <c r="J6" s="908" t="str">
        <f>Index!$D$11</f>
        <v>NC Housing Finance Agency</v>
      </c>
      <c r="K6" s="908"/>
      <c r="L6" s="908"/>
      <c r="M6" s="908"/>
    </row>
    <row r="7" spans="1:27" s="150" customFormat="1" ht="15" customHeight="1" x14ac:dyDescent="0.25">
      <c r="A7" s="150" t="s">
        <v>20</v>
      </c>
      <c r="D7" s="158" t="s">
        <v>172</v>
      </c>
      <c r="I7" s="39" t="s">
        <v>359</v>
      </c>
      <c r="J7" s="899" t="str">
        <f>CONCATENATE(Index!$D$14,"  ",Index!$D$16)</f>
        <v xml:space="preserve">  </v>
      </c>
      <c r="K7" s="899"/>
      <c r="L7" s="899"/>
      <c r="M7" s="899"/>
    </row>
    <row r="8" spans="1:27" s="150" customFormat="1" ht="15" customHeight="1" x14ac:dyDescent="0.25">
      <c r="D8" s="151"/>
      <c r="I8" s="237" t="s">
        <v>196</v>
      </c>
      <c r="J8" s="899">
        <f>+Index!$D$15</f>
        <v>0</v>
      </c>
      <c r="K8" s="899"/>
      <c r="L8" s="899"/>
      <c r="M8" s="899"/>
    </row>
    <row r="9" spans="1:27" s="150" customFormat="1" ht="15" customHeight="1" thickBot="1" x14ac:dyDescent="0.3">
      <c r="A9" s="153"/>
      <c r="B9" s="153"/>
      <c r="C9" s="153"/>
      <c r="D9" s="153"/>
      <c r="E9" s="153"/>
      <c r="F9" s="153"/>
      <c r="G9" s="153"/>
      <c r="H9" s="153"/>
      <c r="I9" s="153"/>
      <c r="J9" s="153"/>
      <c r="K9" s="153"/>
      <c r="L9" s="153"/>
      <c r="M9" s="153"/>
    </row>
    <row r="10" spans="1:27" s="150" customFormat="1" ht="12.75" customHeight="1" x14ac:dyDescent="0.25"/>
    <row r="11" spans="1:27" s="150" customFormat="1" ht="12.75" customHeight="1" x14ac:dyDescent="0.25"/>
    <row r="12" spans="1:27" s="150" customFormat="1" ht="12.75" customHeight="1" x14ac:dyDescent="0.25">
      <c r="A12" s="1081" t="s">
        <v>173</v>
      </c>
      <c r="B12" s="1082"/>
      <c r="C12" s="1082"/>
      <c r="D12" s="1082"/>
      <c r="E12" s="1082"/>
      <c r="F12" s="1082"/>
      <c r="G12" s="1082"/>
      <c r="H12" s="1082"/>
      <c r="I12" s="1082"/>
      <c r="J12" s="1082"/>
      <c r="K12" s="1082"/>
      <c r="L12" s="1082"/>
      <c r="M12" s="1082"/>
      <c r="N12" s="1082"/>
    </row>
    <row r="13" spans="1:27" s="150" customFormat="1" ht="12.75" customHeight="1" x14ac:dyDescent="0.25">
      <c r="A13" s="1083" t="s">
        <v>175</v>
      </c>
      <c r="B13" s="1083"/>
      <c r="C13" s="1083"/>
      <c r="D13" s="1083"/>
      <c r="E13" s="1083"/>
      <c r="F13" s="1083"/>
      <c r="G13" s="1083"/>
      <c r="H13" s="1083"/>
      <c r="I13" s="1083"/>
      <c r="J13" s="1083"/>
      <c r="K13" s="1083"/>
      <c r="L13" s="1083"/>
      <c r="M13" s="1083"/>
      <c r="N13" s="159"/>
    </row>
    <row r="14" spans="1:27" s="150" customFormat="1" ht="12.75" customHeight="1" x14ac:dyDescent="0.25">
      <c r="A14" s="1083" t="s">
        <v>176</v>
      </c>
      <c r="B14" s="1083"/>
      <c r="C14" s="1083"/>
      <c r="D14" s="1083"/>
      <c r="E14" s="1083"/>
      <c r="F14" s="1083"/>
      <c r="G14" s="1083"/>
      <c r="H14" s="1083"/>
      <c r="I14" s="1083"/>
      <c r="J14" s="1083"/>
      <c r="K14" s="1083"/>
      <c r="L14" s="1083"/>
      <c r="M14" s="1083"/>
      <c r="N14" s="159"/>
    </row>
    <row r="15" spans="1:27" s="150" customFormat="1" ht="12.75" customHeight="1" x14ac:dyDescent="0.25">
      <c r="A15" s="1083" t="s">
        <v>177</v>
      </c>
      <c r="B15" s="1083"/>
      <c r="C15" s="1083"/>
      <c r="D15" s="1083"/>
      <c r="E15" s="1083"/>
      <c r="F15" s="1083"/>
      <c r="G15" s="1083"/>
      <c r="H15" s="1083"/>
      <c r="I15" s="1083"/>
      <c r="J15" s="1083"/>
      <c r="K15" s="1083"/>
      <c r="L15" s="1083"/>
      <c r="M15" s="1083"/>
      <c r="N15" s="159"/>
    </row>
    <row r="16" spans="1:27" s="150" customFormat="1" ht="12.75" customHeight="1" x14ac:dyDescent="0.25">
      <c r="A16" s="1083"/>
      <c r="B16" s="1083"/>
      <c r="C16" s="1083"/>
      <c r="D16" s="1083"/>
      <c r="E16" s="1083"/>
      <c r="F16" s="1083"/>
      <c r="G16" s="1083"/>
      <c r="H16" s="1083"/>
      <c r="I16" s="1083"/>
      <c r="J16" s="1083"/>
      <c r="K16" s="1083"/>
      <c r="L16" s="1083"/>
      <c r="M16" s="1083"/>
      <c r="N16" s="159"/>
    </row>
    <row r="17" spans="2:13" ht="15.75" customHeight="1" x14ac:dyDescent="0.25">
      <c r="B17" s="1085"/>
      <c r="C17" s="1085"/>
      <c r="D17" s="1085"/>
      <c r="E17" s="1085"/>
      <c r="F17" s="1085"/>
      <c r="G17" s="1085"/>
      <c r="H17" s="1085"/>
      <c r="I17" s="1085"/>
      <c r="J17" s="1085"/>
      <c r="K17" s="1085"/>
      <c r="L17" s="1085"/>
      <c r="M17" s="1085"/>
    </row>
    <row r="18" spans="2:13" ht="15.75" customHeight="1" x14ac:dyDescent="0.25">
      <c r="B18" s="1084"/>
      <c r="C18" s="1084"/>
      <c r="D18" s="1084"/>
      <c r="E18" s="1084"/>
      <c r="F18" s="1084"/>
      <c r="G18" s="1084"/>
      <c r="H18" s="1084"/>
      <c r="I18" s="1084"/>
      <c r="J18" s="1084"/>
      <c r="K18" s="1084"/>
      <c r="L18" s="1084"/>
      <c r="M18" s="1084"/>
    </row>
    <row r="19" spans="2:13" ht="15.75" customHeight="1" x14ac:dyDescent="0.25">
      <c r="B19" s="1084"/>
      <c r="C19" s="1084"/>
      <c r="D19" s="1084"/>
      <c r="E19" s="1084"/>
      <c r="F19" s="1084"/>
      <c r="G19" s="1084"/>
      <c r="H19" s="1084"/>
      <c r="I19" s="1084"/>
      <c r="J19" s="1084"/>
      <c r="K19" s="1084"/>
      <c r="L19" s="1084"/>
      <c r="M19" s="1084"/>
    </row>
    <row r="20" spans="2:13" ht="15.75" customHeight="1" x14ac:dyDescent="0.25">
      <c r="B20" s="1085"/>
      <c r="C20" s="1085"/>
      <c r="D20" s="1085"/>
      <c r="E20" s="1085"/>
      <c r="F20" s="1085"/>
      <c r="G20" s="1085"/>
      <c r="H20" s="1085"/>
      <c r="I20" s="1085"/>
      <c r="J20" s="1085"/>
      <c r="K20" s="1085"/>
      <c r="L20" s="1085"/>
      <c r="M20" s="1085"/>
    </row>
    <row r="21" spans="2:13" ht="15.75" customHeight="1" x14ac:dyDescent="0.25">
      <c r="B21" s="1084"/>
      <c r="C21" s="1084"/>
      <c r="D21" s="1084"/>
      <c r="E21" s="1084"/>
      <c r="F21" s="1084"/>
      <c r="G21" s="1084"/>
      <c r="H21" s="1084"/>
      <c r="I21" s="1084"/>
      <c r="J21" s="1084"/>
      <c r="K21" s="1084"/>
      <c r="L21" s="1084"/>
      <c r="M21" s="1084"/>
    </row>
    <row r="22" spans="2:13" ht="15.75" customHeight="1" x14ac:dyDescent="0.25">
      <c r="B22" s="1084"/>
      <c r="C22" s="1084"/>
      <c r="D22" s="1084"/>
      <c r="E22" s="1084"/>
      <c r="F22" s="1084"/>
      <c r="G22" s="1084"/>
      <c r="H22" s="1084"/>
      <c r="I22" s="1084"/>
      <c r="J22" s="1084"/>
      <c r="K22" s="1084"/>
      <c r="L22" s="1084"/>
      <c r="M22" s="1084"/>
    </row>
    <row r="23" spans="2:13" ht="15.75" customHeight="1" x14ac:dyDescent="0.25">
      <c r="B23" s="1085"/>
      <c r="C23" s="1085"/>
      <c r="D23" s="1085"/>
      <c r="E23" s="1085"/>
      <c r="F23" s="1085"/>
      <c r="G23" s="1085"/>
      <c r="H23" s="1085"/>
      <c r="I23" s="1085"/>
      <c r="J23" s="1085"/>
      <c r="K23" s="1085"/>
      <c r="L23" s="1085"/>
      <c r="M23" s="1085"/>
    </row>
    <row r="24" spans="2:13" ht="15.75" customHeight="1" x14ac:dyDescent="0.25">
      <c r="B24" s="1084"/>
      <c r="C24" s="1084"/>
      <c r="D24" s="1084"/>
      <c r="E24" s="1084"/>
      <c r="F24" s="1084"/>
      <c r="G24" s="1084"/>
      <c r="H24" s="1084"/>
      <c r="I24" s="1084"/>
      <c r="J24" s="1084"/>
      <c r="K24" s="1084"/>
      <c r="L24" s="1084"/>
      <c r="M24" s="1084"/>
    </row>
    <row r="25" spans="2:13" ht="15.75" customHeight="1" x14ac:dyDescent="0.25">
      <c r="B25" s="1084"/>
      <c r="C25" s="1084"/>
      <c r="D25" s="1084"/>
      <c r="E25" s="1084"/>
      <c r="F25" s="1084"/>
      <c r="G25" s="1084"/>
      <c r="H25" s="1084"/>
      <c r="I25" s="1084"/>
      <c r="J25" s="1084"/>
      <c r="K25" s="1084"/>
      <c r="L25" s="1084"/>
      <c r="M25" s="1084"/>
    </row>
    <row r="26" spans="2:13" ht="15.75" customHeight="1" x14ac:dyDescent="0.25">
      <c r="B26" s="1084"/>
      <c r="C26" s="1084"/>
      <c r="D26" s="1084"/>
      <c r="E26" s="1084"/>
      <c r="F26" s="1084"/>
      <c r="G26" s="1084"/>
      <c r="H26" s="1084"/>
      <c r="I26" s="1084"/>
      <c r="J26" s="1084"/>
      <c r="K26" s="1084"/>
      <c r="L26" s="1084"/>
      <c r="M26" s="1084"/>
    </row>
    <row r="27" spans="2:13" ht="15.75" customHeight="1" x14ac:dyDescent="0.25">
      <c r="B27" s="1084"/>
      <c r="C27" s="1084"/>
      <c r="D27" s="1084"/>
      <c r="E27" s="1084"/>
      <c r="F27" s="1084"/>
      <c r="G27" s="1084"/>
      <c r="H27" s="1084"/>
      <c r="I27" s="1084"/>
      <c r="J27" s="1084"/>
      <c r="K27" s="1084"/>
      <c r="L27" s="1084"/>
      <c r="M27" s="1084"/>
    </row>
    <row r="28" spans="2:13" ht="15.75" customHeight="1" x14ac:dyDescent="0.25">
      <c r="B28" s="1084"/>
      <c r="C28" s="1084"/>
      <c r="D28" s="1084"/>
      <c r="E28" s="1084"/>
      <c r="F28" s="1084"/>
      <c r="G28" s="1084"/>
      <c r="H28" s="1084"/>
      <c r="I28" s="1084"/>
      <c r="J28" s="1084"/>
      <c r="K28" s="1084"/>
      <c r="L28" s="1084"/>
      <c r="M28" s="1084"/>
    </row>
    <row r="29" spans="2:13" ht="15.75" customHeight="1" x14ac:dyDescent="0.25">
      <c r="B29" s="1084"/>
      <c r="C29" s="1084"/>
      <c r="D29" s="1084"/>
      <c r="E29" s="1084"/>
      <c r="F29" s="1084"/>
      <c r="G29" s="1084"/>
      <c r="H29" s="1084"/>
      <c r="I29" s="1084"/>
      <c r="J29" s="1084"/>
      <c r="K29" s="1084"/>
      <c r="L29" s="1084"/>
      <c r="M29" s="1084"/>
    </row>
    <row r="30" spans="2:13" ht="15.75" customHeight="1" x14ac:dyDescent="0.25">
      <c r="B30" s="1084"/>
      <c r="C30" s="1084"/>
      <c r="D30" s="1084"/>
      <c r="E30" s="1084"/>
      <c r="F30" s="1084"/>
      <c r="G30" s="1084"/>
      <c r="H30" s="1084"/>
      <c r="I30" s="1084"/>
      <c r="J30" s="1084"/>
      <c r="K30" s="1084"/>
      <c r="L30" s="1084"/>
      <c r="M30" s="1084"/>
    </row>
    <row r="31" spans="2:13" ht="15.75" customHeight="1" x14ac:dyDescent="0.25">
      <c r="B31" s="1084"/>
      <c r="C31" s="1084"/>
      <c r="D31" s="1084"/>
      <c r="E31" s="1084"/>
      <c r="F31" s="1084"/>
      <c r="G31" s="1084"/>
      <c r="H31" s="1084"/>
      <c r="I31" s="1084"/>
      <c r="J31" s="1084"/>
      <c r="K31" s="1084"/>
      <c r="L31" s="1084"/>
      <c r="M31" s="1084"/>
    </row>
    <row r="32" spans="2:13" ht="15.75" customHeight="1" x14ac:dyDescent="0.25">
      <c r="B32" s="1084"/>
      <c r="C32" s="1084"/>
      <c r="D32" s="1084"/>
      <c r="E32" s="1084"/>
      <c r="F32" s="1084"/>
      <c r="G32" s="1084"/>
      <c r="H32" s="1084"/>
      <c r="I32" s="1084"/>
      <c r="J32" s="1084"/>
      <c r="K32" s="1084"/>
      <c r="L32" s="1084"/>
      <c r="M32" s="1084"/>
    </row>
    <row r="33" spans="2:13" ht="15.75" customHeight="1" x14ac:dyDescent="0.25">
      <c r="B33" s="1084"/>
      <c r="C33" s="1084"/>
      <c r="D33" s="1084"/>
      <c r="E33" s="1084"/>
      <c r="F33" s="1084"/>
      <c r="G33" s="1084"/>
      <c r="H33" s="1084"/>
      <c r="I33" s="1084"/>
      <c r="J33" s="1084"/>
      <c r="K33" s="1084"/>
      <c r="L33" s="1084"/>
      <c r="M33" s="1084"/>
    </row>
    <row r="34" spans="2:13" ht="15.75" customHeight="1" x14ac:dyDescent="0.25">
      <c r="B34" s="1084"/>
      <c r="C34" s="1084"/>
      <c r="D34" s="1084"/>
      <c r="E34" s="1084"/>
      <c r="F34" s="1084"/>
      <c r="G34" s="1084"/>
      <c r="H34" s="1084"/>
      <c r="I34" s="1084"/>
      <c r="J34" s="1084"/>
      <c r="K34" s="1084"/>
      <c r="L34" s="1084"/>
      <c r="M34" s="1084"/>
    </row>
    <row r="35" spans="2:13" ht="15.75" customHeight="1" x14ac:dyDescent="0.25">
      <c r="B35" s="1084"/>
      <c r="C35" s="1084"/>
      <c r="D35" s="1084"/>
      <c r="E35" s="1084"/>
      <c r="F35" s="1084"/>
      <c r="G35" s="1084"/>
      <c r="H35" s="1084"/>
      <c r="I35" s="1084"/>
      <c r="J35" s="1084"/>
      <c r="K35" s="1084"/>
      <c r="L35" s="1084"/>
      <c r="M35" s="1084"/>
    </row>
    <row r="36" spans="2:13" ht="15.75" customHeight="1" x14ac:dyDescent="0.25">
      <c r="B36" s="1084"/>
      <c r="C36" s="1084"/>
      <c r="D36" s="1084"/>
      <c r="E36" s="1084"/>
      <c r="F36" s="1084"/>
      <c r="G36" s="1084"/>
      <c r="H36" s="1084"/>
      <c r="I36" s="1084"/>
      <c r="J36" s="1084"/>
      <c r="K36" s="1084"/>
      <c r="L36" s="1084"/>
      <c r="M36" s="1084"/>
    </row>
    <row r="37" spans="2:13" ht="15.75" customHeight="1" x14ac:dyDescent="0.25">
      <c r="B37" s="1084"/>
      <c r="C37" s="1084"/>
      <c r="D37" s="1084"/>
      <c r="E37" s="1084"/>
      <c r="F37" s="1084"/>
      <c r="G37" s="1084"/>
      <c r="H37" s="1084"/>
      <c r="I37" s="1084"/>
      <c r="J37" s="1084"/>
      <c r="K37" s="1084"/>
      <c r="L37" s="1084"/>
      <c r="M37" s="1084"/>
    </row>
    <row r="38" spans="2:13" ht="15.75" customHeight="1" x14ac:dyDescent="0.25">
      <c r="B38" s="1084"/>
      <c r="C38" s="1084"/>
      <c r="D38" s="1084"/>
      <c r="E38" s="1084"/>
      <c r="F38" s="1084"/>
      <c r="G38" s="1084"/>
      <c r="H38" s="1084"/>
      <c r="I38" s="1084"/>
      <c r="J38" s="1084"/>
      <c r="K38" s="1084"/>
      <c r="L38" s="1084"/>
      <c r="M38" s="1084"/>
    </row>
    <row r="39" spans="2:13" ht="15.75" customHeight="1" x14ac:dyDescent="0.25">
      <c r="B39" s="1084"/>
      <c r="C39" s="1084"/>
      <c r="D39" s="1084"/>
      <c r="E39" s="1084"/>
      <c r="F39" s="1084"/>
      <c r="G39" s="1084"/>
      <c r="H39" s="1084"/>
      <c r="I39" s="1084"/>
      <c r="J39" s="1084"/>
      <c r="K39" s="1084"/>
      <c r="L39" s="1084"/>
      <c r="M39" s="1084"/>
    </row>
    <row r="40" spans="2:13" ht="15.75" customHeight="1" x14ac:dyDescent="0.25">
      <c r="B40" s="1084"/>
      <c r="C40" s="1084"/>
      <c r="D40" s="1084"/>
      <c r="E40" s="1084"/>
      <c r="F40" s="1084"/>
      <c r="G40" s="1084"/>
      <c r="H40" s="1084"/>
      <c r="I40" s="1084"/>
      <c r="J40" s="1084"/>
      <c r="K40" s="1084"/>
      <c r="L40" s="1084"/>
      <c r="M40" s="1084"/>
    </row>
  </sheetData>
  <sheetProtection algorithmName="SHA-512" hashValue="V+v/oMsA79bqOzVa5bE+FVRMi0+o/Aw12bBVD9v8Xy9Ve28P30895zA0M616H3eQ9sYYkKMuTOM962x6d/5FEA==" saltValue="gyqkHZXmPWHGhYOYc3E5nA==" spinCount="100000" sheet="1" objects="1" scenarios="1" autoFilter="0"/>
  <mergeCells count="37">
    <mergeCell ref="B38:M38"/>
    <mergeCell ref="B39:M39"/>
    <mergeCell ref="B40:M40"/>
    <mergeCell ref="B34:M34"/>
    <mergeCell ref="B35:M35"/>
    <mergeCell ref="B36:M36"/>
    <mergeCell ref="B37:M37"/>
    <mergeCell ref="B25:M25"/>
    <mergeCell ref="B26:M26"/>
    <mergeCell ref="B27:M27"/>
    <mergeCell ref="B28:M28"/>
    <mergeCell ref="B33:M33"/>
    <mergeCell ref="B29:M29"/>
    <mergeCell ref="B30:M30"/>
    <mergeCell ref="B31:M31"/>
    <mergeCell ref="B32:M32"/>
    <mergeCell ref="B22:M22"/>
    <mergeCell ref="B23:M23"/>
    <mergeCell ref="B24:M24"/>
    <mergeCell ref="B17:M17"/>
    <mergeCell ref="B18:M18"/>
    <mergeCell ref="B19:M19"/>
    <mergeCell ref="B20:M20"/>
    <mergeCell ref="A13:M13"/>
    <mergeCell ref="A14:M14"/>
    <mergeCell ref="A15:M15"/>
    <mergeCell ref="A16:M16"/>
    <mergeCell ref="B21:M21"/>
    <mergeCell ref="N1:N3"/>
    <mergeCell ref="J5:M5"/>
    <mergeCell ref="J6:M6"/>
    <mergeCell ref="A12:N12"/>
    <mergeCell ref="A1:M1"/>
    <mergeCell ref="A2:M2"/>
    <mergeCell ref="A3:M3"/>
    <mergeCell ref="J7:M7"/>
    <mergeCell ref="J8:M8"/>
  </mergeCells>
  <phoneticPr fontId="12" type="noConversion"/>
  <conditionalFormatting sqref="N1:N3">
    <cfRule type="cellIs" dxfId="0" priority="1" stopIfTrue="1" operator="equal">
      <formula>"na"</formula>
    </cfRule>
  </conditionalFormatting>
  <hyperlinks>
    <hyperlink ref="A1:M1" location="Index!A1" display="Index!A1" xr:uid="{00000000-0004-0000-1900-000000000000}"/>
  </hyperlinks>
  <pageMargins left="0.95" right="0.95" top="0.5" bottom="0.5" header="0.3" footer="0.3"/>
  <pageSetup scale="91" orientation="portrait"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J46"/>
  <sheetViews>
    <sheetView zoomScaleNormal="100" workbookViewId="0">
      <selection activeCell="K9" sqref="K9"/>
    </sheetView>
  </sheetViews>
  <sheetFormatPr defaultColWidth="9.109375" defaultRowHeight="13.2" x14ac:dyDescent="0.25"/>
  <cols>
    <col min="1" max="1" width="11.5546875" style="616" customWidth="1"/>
    <col min="2" max="2" width="2.44140625" style="616" customWidth="1"/>
    <col min="3" max="3" width="14.5546875" style="616" customWidth="1"/>
    <col min="4" max="4" width="2.44140625" style="616" customWidth="1"/>
    <col min="5" max="5" width="60.5546875" style="616" customWidth="1"/>
    <col min="6" max="6" width="2.44140625" style="616" customWidth="1"/>
    <col min="7" max="7" width="10.6640625" style="616" hidden="1" customWidth="1"/>
    <col min="8" max="8" width="11.33203125" style="616" hidden="1" customWidth="1"/>
    <col min="9" max="9" width="9.5546875" style="616" hidden="1" customWidth="1"/>
    <col min="10" max="10" width="10.109375" style="616" hidden="1" customWidth="1"/>
    <col min="11" max="16384" width="9.109375" style="616"/>
  </cols>
  <sheetData>
    <row r="1" spans="1:10" s="613" customFormat="1" ht="17.399999999999999" x14ac:dyDescent="0.3">
      <c r="A1" s="846" t="s">
        <v>275</v>
      </c>
      <c r="B1" s="846"/>
      <c r="C1" s="846"/>
      <c r="D1" s="846"/>
      <c r="E1" s="846"/>
    </row>
    <row r="2" spans="1:10" s="613" customFormat="1" ht="15.6" x14ac:dyDescent="0.3">
      <c r="A2" s="847" t="s">
        <v>1359</v>
      </c>
      <c r="B2" s="847"/>
      <c r="C2" s="847"/>
      <c r="D2" s="847"/>
      <c r="E2" s="847"/>
    </row>
    <row r="3" spans="1:10" ht="13.8" x14ac:dyDescent="0.25">
      <c r="A3" s="614"/>
      <c r="B3" s="614"/>
      <c r="C3" s="615"/>
      <c r="D3" s="614"/>
    </row>
    <row r="4" spans="1:10" ht="13.8" x14ac:dyDescent="0.25">
      <c r="G4" s="845" t="s">
        <v>1037</v>
      </c>
      <c r="H4" s="845"/>
      <c r="I4" s="845"/>
      <c r="J4" s="845"/>
    </row>
    <row r="5" spans="1:10" ht="55.8" thickBot="1" x14ac:dyDescent="0.3">
      <c r="A5" s="617" t="s">
        <v>1038</v>
      </c>
      <c r="C5" s="617" t="s">
        <v>1039</v>
      </c>
      <c r="E5" s="618" t="s">
        <v>1040</v>
      </c>
      <c r="G5" s="617" t="s">
        <v>1041</v>
      </c>
      <c r="H5" s="617" t="s">
        <v>1042</v>
      </c>
      <c r="I5" s="617" t="s">
        <v>1043</v>
      </c>
      <c r="J5" s="617" t="s">
        <v>1044</v>
      </c>
    </row>
    <row r="6" spans="1:10" ht="13.8" x14ac:dyDescent="0.25">
      <c r="A6" s="619"/>
      <c r="B6" s="614"/>
      <c r="C6" s="620"/>
      <c r="D6" s="614"/>
      <c r="E6" s="612"/>
      <c r="G6" s="621"/>
      <c r="H6" s="622"/>
      <c r="I6" s="622"/>
      <c r="J6" s="622"/>
    </row>
    <row r="7" spans="1:10" ht="60.75" customHeight="1" x14ac:dyDescent="0.25">
      <c r="A7" s="684">
        <v>44715</v>
      </c>
      <c r="B7" s="685"/>
      <c r="C7" s="686">
        <v>115</v>
      </c>
      <c r="D7" s="685"/>
      <c r="E7" s="687" t="s">
        <v>1579</v>
      </c>
      <c r="F7" s="688"/>
      <c r="G7" s="689" t="s">
        <v>1581</v>
      </c>
      <c r="H7" s="622">
        <v>44715</v>
      </c>
      <c r="I7" s="622">
        <v>44715</v>
      </c>
      <c r="J7" s="622" t="s">
        <v>1582</v>
      </c>
    </row>
    <row r="8" spans="1:10" ht="52.5" customHeight="1" x14ac:dyDescent="0.25">
      <c r="A8" s="619"/>
      <c r="B8" s="614"/>
      <c r="C8" s="620"/>
      <c r="D8" s="614"/>
      <c r="E8" s="700"/>
      <c r="G8" s="626"/>
      <c r="H8" s="622"/>
      <c r="I8" s="622"/>
      <c r="J8" s="622"/>
    </row>
    <row r="9" spans="1:10" ht="70.95" customHeight="1" x14ac:dyDescent="0.25">
      <c r="A9" s="619"/>
      <c r="B9" s="614"/>
      <c r="C9" s="620"/>
      <c r="D9" s="614"/>
      <c r="E9" s="700"/>
      <c r="G9" s="621"/>
      <c r="H9" s="702"/>
      <c r="I9" s="702"/>
      <c r="J9" s="702"/>
    </row>
    <row r="10" spans="1:10" ht="67.95" customHeight="1" x14ac:dyDescent="0.25">
      <c r="A10" s="619"/>
      <c r="B10" s="701"/>
      <c r="C10" s="620"/>
      <c r="D10" s="614"/>
      <c r="E10" s="700"/>
      <c r="G10" s="621"/>
      <c r="H10" s="702"/>
      <c r="I10" s="702"/>
      <c r="J10" s="702"/>
    </row>
    <row r="11" spans="1:10" ht="13.8" x14ac:dyDescent="0.25">
      <c r="A11" s="619"/>
      <c r="B11" s="614"/>
      <c r="C11" s="620"/>
      <c r="D11" s="614"/>
      <c r="E11" s="624"/>
      <c r="G11" s="625"/>
      <c r="H11" s="622"/>
      <c r="I11" s="622"/>
      <c r="J11" s="622"/>
    </row>
    <row r="12" spans="1:10" ht="13.8" x14ac:dyDescent="0.25">
      <c r="A12" s="619"/>
      <c r="B12" s="614"/>
      <c r="C12" s="623"/>
      <c r="D12" s="614"/>
      <c r="E12" s="612"/>
      <c r="G12" s="626"/>
      <c r="H12" s="622"/>
      <c r="I12" s="622"/>
      <c r="J12" s="627"/>
    </row>
    <row r="13" spans="1:10" ht="13.8" x14ac:dyDescent="0.25">
      <c r="A13" s="619"/>
      <c r="B13" s="614"/>
      <c r="C13" s="623"/>
      <c r="D13" s="614"/>
      <c r="E13" s="624"/>
      <c r="G13" s="626"/>
      <c r="H13" s="622"/>
      <c r="I13" s="622"/>
      <c r="J13" s="627"/>
    </row>
    <row r="14" spans="1:10" ht="33" customHeight="1" x14ac:dyDescent="0.25">
      <c r="A14" s="619"/>
      <c r="B14" s="614"/>
      <c r="C14" s="623"/>
      <c r="D14" s="614"/>
      <c r="E14" s="612"/>
      <c r="G14" s="621"/>
      <c r="H14" s="622"/>
      <c r="I14" s="622"/>
      <c r="J14" s="622"/>
    </row>
    <row r="15" spans="1:10" ht="33" customHeight="1" x14ac:dyDescent="0.25">
      <c r="A15" s="619"/>
      <c r="B15" s="614"/>
      <c r="C15" s="623"/>
      <c r="D15" s="614"/>
      <c r="E15" s="612"/>
      <c r="G15" s="621"/>
      <c r="H15" s="622"/>
      <c r="I15" s="622"/>
      <c r="J15" s="622"/>
    </row>
    <row r="16" spans="1:10" ht="33" customHeight="1" x14ac:dyDescent="0.25">
      <c r="A16" s="619"/>
      <c r="B16" s="614"/>
      <c r="C16" s="623"/>
      <c r="D16" s="614"/>
      <c r="E16" s="612"/>
      <c r="G16" s="621"/>
      <c r="H16" s="622"/>
      <c r="I16" s="622"/>
      <c r="J16" s="622"/>
    </row>
    <row r="17" spans="1:10" ht="33" customHeight="1" x14ac:dyDescent="0.25">
      <c r="A17" s="619"/>
      <c r="B17" s="614"/>
      <c r="C17" s="623"/>
      <c r="D17" s="614"/>
      <c r="E17" s="612"/>
      <c r="G17" s="621"/>
      <c r="H17" s="622"/>
      <c r="I17" s="622"/>
      <c r="J17" s="622"/>
    </row>
    <row r="18" spans="1:10" ht="33" customHeight="1" x14ac:dyDescent="0.25">
      <c r="A18" s="619"/>
      <c r="B18" s="614"/>
      <c r="C18" s="623"/>
      <c r="D18" s="614"/>
      <c r="E18" s="612"/>
      <c r="G18" s="621"/>
      <c r="H18" s="622"/>
      <c r="I18" s="622"/>
      <c r="J18" s="622"/>
    </row>
    <row r="19" spans="1:10" ht="33" customHeight="1" x14ac:dyDescent="0.25">
      <c r="A19" s="619"/>
      <c r="B19" s="614"/>
      <c r="C19" s="623"/>
      <c r="D19" s="614"/>
      <c r="E19" s="612"/>
      <c r="G19" s="621"/>
      <c r="H19" s="622"/>
      <c r="I19" s="622"/>
      <c r="J19" s="622"/>
    </row>
    <row r="20" spans="1:10" ht="33" customHeight="1" x14ac:dyDescent="0.25">
      <c r="A20" s="619"/>
      <c r="B20" s="614"/>
      <c r="C20" s="623"/>
      <c r="D20" s="614"/>
      <c r="E20" s="612"/>
      <c r="G20" s="621"/>
      <c r="H20" s="622"/>
      <c r="I20" s="622"/>
      <c r="J20" s="622"/>
    </row>
    <row r="21" spans="1:10" ht="33" customHeight="1" x14ac:dyDescent="0.25">
      <c r="A21" s="619"/>
      <c r="B21" s="614"/>
      <c r="C21" s="623"/>
      <c r="D21" s="614"/>
      <c r="E21" s="612"/>
      <c r="G21" s="621"/>
      <c r="H21" s="622"/>
      <c r="I21" s="622"/>
      <c r="J21" s="622"/>
    </row>
    <row r="22" spans="1:10" ht="33" customHeight="1" x14ac:dyDescent="0.25">
      <c r="A22" s="619"/>
      <c r="B22" s="614"/>
      <c r="C22" s="623"/>
      <c r="D22" s="614"/>
      <c r="E22" s="612"/>
      <c r="G22" s="621"/>
      <c r="H22" s="622"/>
      <c r="I22" s="622"/>
      <c r="J22" s="622"/>
    </row>
    <row r="23" spans="1:10" ht="33" customHeight="1" x14ac:dyDescent="0.25">
      <c r="A23" s="619"/>
      <c r="B23" s="614"/>
      <c r="C23" s="623"/>
      <c r="D23" s="614"/>
      <c r="E23" s="612"/>
      <c r="G23" s="621"/>
      <c r="H23" s="622"/>
      <c r="I23" s="622"/>
      <c r="J23" s="622"/>
    </row>
    <row r="24" spans="1:10" ht="33" customHeight="1" x14ac:dyDescent="0.25">
      <c r="A24" s="619"/>
      <c r="B24" s="614"/>
      <c r="C24" s="623"/>
      <c r="D24" s="614"/>
      <c r="E24" s="612"/>
      <c r="G24" s="621"/>
      <c r="H24" s="622"/>
      <c r="I24" s="622"/>
      <c r="J24" s="622"/>
    </row>
    <row r="25" spans="1:10" ht="33" customHeight="1" x14ac:dyDescent="0.25">
      <c r="A25" s="619"/>
      <c r="B25" s="614"/>
      <c r="C25" s="623"/>
      <c r="D25" s="614"/>
      <c r="E25" s="612"/>
      <c r="G25" s="621"/>
      <c r="H25" s="622"/>
      <c r="I25" s="622"/>
      <c r="J25" s="622"/>
    </row>
    <row r="26" spans="1:10" ht="33" customHeight="1" x14ac:dyDescent="0.25">
      <c r="A26" s="619"/>
      <c r="B26" s="614"/>
      <c r="C26" s="623"/>
      <c r="D26" s="614"/>
      <c r="E26" s="612"/>
      <c r="G26" s="621"/>
      <c r="H26" s="622"/>
      <c r="I26" s="622"/>
      <c r="J26" s="622"/>
    </row>
    <row r="27" spans="1:10" ht="33" customHeight="1" x14ac:dyDescent="0.25">
      <c r="A27" s="619"/>
      <c r="B27" s="614"/>
      <c r="C27" s="623"/>
      <c r="D27" s="614"/>
      <c r="E27" s="612"/>
      <c r="G27" s="621"/>
      <c r="H27" s="622"/>
      <c r="I27" s="622"/>
      <c r="J27" s="622"/>
    </row>
    <row r="28" spans="1:10" ht="33" customHeight="1" x14ac:dyDescent="0.25">
      <c r="A28" s="619"/>
      <c r="B28" s="614"/>
      <c r="C28" s="623"/>
      <c r="D28" s="614"/>
      <c r="E28" s="612"/>
      <c r="G28" s="621"/>
      <c r="H28" s="622"/>
      <c r="I28" s="622"/>
      <c r="J28" s="622"/>
    </row>
    <row r="29" spans="1:10" ht="33" customHeight="1" x14ac:dyDescent="0.25">
      <c r="A29" s="619"/>
      <c r="B29" s="614"/>
      <c r="C29" s="623"/>
      <c r="D29" s="614"/>
      <c r="E29" s="612"/>
      <c r="G29" s="621"/>
      <c r="H29" s="622"/>
      <c r="I29" s="622"/>
      <c r="J29" s="622"/>
    </row>
    <row r="30" spans="1:10" ht="33" customHeight="1" x14ac:dyDescent="0.25">
      <c r="A30" s="619"/>
      <c r="B30" s="614"/>
      <c r="C30" s="623"/>
      <c r="D30" s="614"/>
      <c r="E30" s="612"/>
      <c r="G30" s="621"/>
      <c r="H30" s="622"/>
      <c r="I30" s="622"/>
      <c r="J30" s="622"/>
    </row>
    <row r="31" spans="1:10" ht="33" customHeight="1" x14ac:dyDescent="0.25">
      <c r="A31" s="619"/>
      <c r="B31" s="614"/>
      <c r="C31" s="623"/>
      <c r="D31" s="614"/>
      <c r="E31" s="612"/>
      <c r="G31" s="621"/>
      <c r="H31" s="622"/>
      <c r="I31" s="622"/>
      <c r="J31" s="622"/>
    </row>
    <row r="32" spans="1:10" ht="33" customHeight="1" x14ac:dyDescent="0.25">
      <c r="A32" s="619"/>
      <c r="B32" s="614"/>
      <c r="C32" s="623"/>
      <c r="D32" s="614"/>
      <c r="E32" s="612"/>
      <c r="G32" s="621"/>
      <c r="H32" s="622"/>
      <c r="I32" s="622"/>
      <c r="J32" s="622"/>
    </row>
    <row r="33" spans="1:10" ht="33" customHeight="1" x14ac:dyDescent="0.25">
      <c r="A33" s="619"/>
      <c r="B33" s="614"/>
      <c r="C33" s="623"/>
      <c r="D33" s="614"/>
      <c r="E33" s="612"/>
      <c r="G33" s="621"/>
      <c r="H33" s="622"/>
      <c r="I33" s="622"/>
      <c r="J33" s="622"/>
    </row>
    <row r="34" spans="1:10" ht="33" customHeight="1" x14ac:dyDescent="0.25">
      <c r="A34" s="619"/>
      <c r="B34" s="614"/>
      <c r="C34" s="623"/>
      <c r="D34" s="614"/>
      <c r="E34" s="612"/>
      <c r="G34" s="621"/>
      <c r="H34" s="622"/>
      <c r="I34" s="622"/>
      <c r="J34" s="622"/>
    </row>
    <row r="35" spans="1:10" ht="33" customHeight="1" x14ac:dyDescent="0.25">
      <c r="A35" s="614"/>
      <c r="B35" s="614"/>
      <c r="C35" s="615"/>
      <c r="D35" s="614"/>
    </row>
    <row r="36" spans="1:10" ht="13.8" x14ac:dyDescent="0.25">
      <c r="A36" s="614"/>
      <c r="B36" s="614"/>
      <c r="C36" s="615"/>
      <c r="D36" s="614"/>
    </row>
    <row r="37" spans="1:10" ht="13.8" x14ac:dyDescent="0.25">
      <c r="A37" s="614"/>
      <c r="B37" s="614"/>
      <c r="C37" s="615"/>
      <c r="D37" s="614"/>
    </row>
    <row r="38" spans="1:10" ht="13.8" x14ac:dyDescent="0.25">
      <c r="A38" s="614"/>
      <c r="B38" s="614"/>
      <c r="C38" s="615"/>
      <c r="D38" s="614"/>
    </row>
    <row r="39" spans="1:10" ht="13.8" x14ac:dyDescent="0.25">
      <c r="A39" s="614"/>
      <c r="B39" s="614"/>
      <c r="C39" s="615"/>
      <c r="D39" s="614"/>
    </row>
    <row r="40" spans="1:10" ht="13.8" x14ac:dyDescent="0.25">
      <c r="A40" s="614"/>
      <c r="B40" s="614"/>
      <c r="C40" s="615"/>
      <c r="D40" s="614"/>
    </row>
    <row r="41" spans="1:10" ht="13.8" x14ac:dyDescent="0.25">
      <c r="A41" s="614"/>
      <c r="B41" s="614"/>
      <c r="C41" s="615"/>
      <c r="D41" s="614"/>
    </row>
    <row r="42" spans="1:10" ht="13.8" x14ac:dyDescent="0.25">
      <c r="A42" s="614"/>
      <c r="B42" s="614"/>
      <c r="C42" s="615"/>
      <c r="D42" s="614"/>
    </row>
    <row r="43" spans="1:10" ht="13.8" x14ac:dyDescent="0.25">
      <c r="A43" s="614"/>
      <c r="B43" s="614"/>
      <c r="C43" s="615"/>
      <c r="D43" s="614"/>
    </row>
    <row r="44" spans="1:10" ht="13.8" x14ac:dyDescent="0.25">
      <c r="A44" s="614"/>
      <c r="B44" s="614"/>
      <c r="C44" s="615"/>
      <c r="D44" s="614"/>
    </row>
    <row r="45" spans="1:10" ht="13.8" x14ac:dyDescent="0.25">
      <c r="A45" s="614"/>
      <c r="B45" s="614"/>
      <c r="C45" s="615"/>
      <c r="D45" s="614"/>
    </row>
    <row r="46" spans="1:10" ht="13.8" x14ac:dyDescent="0.25">
      <c r="A46" s="614"/>
      <c r="B46" s="614"/>
      <c r="C46" s="615"/>
      <c r="D46" s="614"/>
    </row>
  </sheetData>
  <sheetProtection algorithmName="SHA-512" hashValue="6BBp+EphA+gDszrr5MxIvUkwrnYsryzScsyWDruZBf66V1eUQyR++i3r6MA8kVKM8zBSjNpCLPKJDVW0KoXsZw==" saltValue="vJ5JknxO7wu2leGgtRkdng==" spinCount="100000" sheet="1" objects="1" scenarios="1" autoFilter="0"/>
  <mergeCells count="3">
    <mergeCell ref="G4:J4"/>
    <mergeCell ref="A1:E1"/>
    <mergeCell ref="A2:E2"/>
  </mergeCells>
  <pageMargins left="0.25" right="0.2" top="0.5" bottom="0.5" header="0.3" footer="0.3"/>
  <pageSetup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77">
    <tabColor rgb="FFFFFF00"/>
  </sheetPr>
  <dimension ref="A1:J16"/>
  <sheetViews>
    <sheetView topLeftCell="C1" zoomScaleNormal="100" workbookViewId="0">
      <pane ySplit="2" topLeftCell="A3" activePane="bottomLeft" state="frozen"/>
      <selection sqref="A1:M1"/>
      <selection pane="bottomLeft" activeCell="J16" sqref="J16"/>
    </sheetView>
  </sheetViews>
  <sheetFormatPr defaultColWidth="9.109375" defaultRowHeight="15.6" x14ac:dyDescent="0.3"/>
  <cols>
    <col min="1" max="1" width="34.5546875" style="199" hidden="1" customWidth="1"/>
    <col min="2" max="2" width="5.109375" style="199" hidden="1" customWidth="1"/>
    <col min="3" max="3" width="8.5546875" style="199" bestFit="1" customWidth="1"/>
    <col min="4" max="4" width="45.88671875" style="199" customWidth="1"/>
    <col min="5" max="5" width="10.44140625" style="199" customWidth="1"/>
    <col min="6" max="6" width="9.5546875" style="199" customWidth="1"/>
    <col min="7" max="7" width="17.44140625" style="307" customWidth="1"/>
    <col min="8" max="8" width="1.44140625" style="231" customWidth="1"/>
    <col min="9" max="9" width="16.109375" style="199" customWidth="1"/>
    <col min="10" max="16384" width="9.109375" style="199"/>
  </cols>
  <sheetData>
    <row r="1" spans="1:10" x14ac:dyDescent="0.3">
      <c r="B1" s="200"/>
      <c r="C1" s="201" t="s">
        <v>287</v>
      </c>
      <c r="D1" s="201" t="s">
        <v>1569</v>
      </c>
      <c r="E1" s="201" t="s">
        <v>0</v>
      </c>
      <c r="F1" s="201" t="s">
        <v>65</v>
      </c>
      <c r="G1" s="307" t="s">
        <v>1570</v>
      </c>
    </row>
    <row r="2" spans="1:10" x14ac:dyDescent="0.3">
      <c r="A2" s="199" t="s">
        <v>216</v>
      </c>
      <c r="B2" s="200" t="s">
        <v>217</v>
      </c>
      <c r="C2" s="202" t="s">
        <v>286</v>
      </c>
      <c r="D2" s="202" t="s">
        <v>579</v>
      </c>
      <c r="E2" s="202" t="s">
        <v>1</v>
      </c>
      <c r="F2" s="202" t="s">
        <v>66</v>
      </c>
      <c r="G2" s="307" t="s">
        <v>714</v>
      </c>
      <c r="I2" s="199" t="s">
        <v>1571</v>
      </c>
    </row>
    <row r="3" spans="1:10" x14ac:dyDescent="0.3">
      <c r="A3" s="377" t="str">
        <f t="shared" ref="A3:A14" si="0">C3&amp;" "&amp;D3</f>
        <v>0A NC Housing Finance Agency</v>
      </c>
      <c r="B3" s="378" t="s">
        <v>431</v>
      </c>
      <c r="C3" s="200" t="str">
        <f t="shared" ref="C3:C12" si="1">B3</f>
        <v>0A</v>
      </c>
      <c r="D3" s="199" t="s">
        <v>742</v>
      </c>
      <c r="E3" s="199" t="s">
        <v>65</v>
      </c>
      <c r="F3" s="376">
        <v>2611</v>
      </c>
      <c r="G3" s="307">
        <f>PriorYrBal!D80</f>
        <v>897250000</v>
      </c>
      <c r="J3" s="307"/>
    </row>
    <row r="4" spans="1:10" x14ac:dyDescent="0.3">
      <c r="A4" s="377" t="str">
        <f t="shared" si="0"/>
        <v>ZA NC State Ports Authority</v>
      </c>
      <c r="B4" s="378" t="s">
        <v>223</v>
      </c>
      <c r="C4" s="200" t="str">
        <f t="shared" si="1"/>
        <v>ZA</v>
      </c>
      <c r="D4" s="199" t="s">
        <v>224</v>
      </c>
      <c r="E4" s="199" t="s">
        <v>65</v>
      </c>
      <c r="F4" s="376">
        <v>2612</v>
      </c>
      <c r="G4" s="307" t="s">
        <v>745</v>
      </c>
      <c r="I4" s="199" t="s">
        <v>746</v>
      </c>
      <c r="J4" s="307"/>
    </row>
    <row r="5" spans="1:10" x14ac:dyDescent="0.3">
      <c r="A5" s="377" t="str">
        <f t="shared" si="0"/>
        <v>Z3 NC Global TransPark Authority</v>
      </c>
      <c r="B5" s="378" t="s">
        <v>219</v>
      </c>
      <c r="C5" s="200" t="str">
        <f t="shared" si="1"/>
        <v>Z3</v>
      </c>
      <c r="D5" s="199" t="s">
        <v>220</v>
      </c>
      <c r="E5" s="199" t="s">
        <v>65</v>
      </c>
      <c r="F5" s="376">
        <v>2615</v>
      </c>
      <c r="G5" s="307" t="s">
        <v>744</v>
      </c>
      <c r="I5" s="199" t="s">
        <v>746</v>
      </c>
      <c r="J5" s="307"/>
    </row>
    <row r="6" spans="1:10" x14ac:dyDescent="0.3">
      <c r="A6" s="377" t="str">
        <f t="shared" si="0"/>
        <v>Z3F NC Global TransPark Auth Foundation</v>
      </c>
      <c r="B6" s="378" t="s">
        <v>592</v>
      </c>
      <c r="C6" s="200" t="str">
        <f t="shared" si="1"/>
        <v>Z3F</v>
      </c>
      <c r="D6" s="199" t="s">
        <v>591</v>
      </c>
      <c r="E6" s="441" t="s">
        <v>174</v>
      </c>
      <c r="F6" s="376">
        <v>2615</v>
      </c>
      <c r="G6" s="307">
        <f>PriorYrBal!E80</f>
        <v>9144228.0099999998</v>
      </c>
      <c r="I6" s="307"/>
      <c r="J6" s="307"/>
    </row>
    <row r="7" spans="1:10" x14ac:dyDescent="0.3">
      <c r="A7" s="377" t="str">
        <f t="shared" si="0"/>
        <v>Z2 NC Biotechnology Center</v>
      </c>
      <c r="B7" s="378" t="s">
        <v>594</v>
      </c>
      <c r="C7" s="200" t="str">
        <f t="shared" si="1"/>
        <v>Z2</v>
      </c>
      <c r="D7" s="199" t="s">
        <v>595</v>
      </c>
      <c r="E7" s="441" t="s">
        <v>174</v>
      </c>
      <c r="F7" s="376">
        <v>2618</v>
      </c>
      <c r="G7" s="307">
        <f>PriorYrBal!F80</f>
        <v>36091188</v>
      </c>
      <c r="I7" s="307"/>
      <c r="J7" s="307"/>
    </row>
    <row r="8" spans="1:10" x14ac:dyDescent="0.3">
      <c r="A8" s="377" t="str">
        <f t="shared" si="0"/>
        <v>ZB State Education Assistance Auth.</v>
      </c>
      <c r="B8" s="378" t="s">
        <v>471</v>
      </c>
      <c r="C8" s="200" t="str">
        <f t="shared" si="1"/>
        <v>ZB</v>
      </c>
      <c r="D8" s="199" t="s">
        <v>743</v>
      </c>
      <c r="E8" s="199" t="s">
        <v>65</v>
      </c>
      <c r="F8" s="376">
        <v>2620</v>
      </c>
      <c r="G8" s="307">
        <f>PriorYrBal!H80</f>
        <v>640451025</v>
      </c>
      <c r="I8" s="307"/>
      <c r="J8" s="307"/>
    </row>
    <row r="9" spans="1:10" x14ac:dyDescent="0.3">
      <c r="A9" s="377" t="str">
        <f t="shared" si="0"/>
        <v>Z7 NC Partnership for Children</v>
      </c>
      <c r="B9" s="378" t="s">
        <v>221</v>
      </c>
      <c r="C9" s="200" t="str">
        <f t="shared" si="1"/>
        <v>Z7</v>
      </c>
      <c r="D9" s="199" t="s">
        <v>222</v>
      </c>
      <c r="E9" s="199" t="s">
        <v>65</v>
      </c>
      <c r="F9" s="376">
        <v>2621</v>
      </c>
      <c r="G9" s="307">
        <f>PriorYrBal!G80</f>
        <v>1621979.27</v>
      </c>
      <c r="I9" s="307"/>
      <c r="J9" s="307"/>
    </row>
    <row r="10" spans="1:10" x14ac:dyDescent="0.3">
      <c r="A10" s="377" t="str">
        <f t="shared" si="0"/>
        <v>ZG Centennial Authority</v>
      </c>
      <c r="B10" s="378" t="s">
        <v>732</v>
      </c>
      <c r="C10" s="200" t="str">
        <f t="shared" si="1"/>
        <v>ZG</v>
      </c>
      <c r="D10" s="199" t="s">
        <v>724</v>
      </c>
      <c r="E10" s="199" t="s">
        <v>65</v>
      </c>
      <c r="F10" s="376">
        <v>2626</v>
      </c>
      <c r="G10" s="307">
        <f>PriorYrBal!L80</f>
        <v>125538750</v>
      </c>
      <c r="H10" s="298"/>
      <c r="I10" s="307"/>
      <c r="J10" s="307"/>
    </row>
    <row r="11" spans="1:10" x14ac:dyDescent="0.3">
      <c r="A11" s="377" t="str">
        <f t="shared" si="0"/>
        <v>ZH NC Railroad Company</v>
      </c>
      <c r="B11" s="378" t="s">
        <v>323</v>
      </c>
      <c r="C11" s="200" t="str">
        <f t="shared" si="1"/>
        <v>ZH</v>
      </c>
      <c r="D11" s="199" t="s">
        <v>225</v>
      </c>
      <c r="E11" s="441" t="s">
        <v>174</v>
      </c>
      <c r="F11" s="376">
        <v>2627</v>
      </c>
      <c r="G11" s="307">
        <f>PriorYrBal!I80</f>
        <v>366499882.62</v>
      </c>
      <c r="H11" s="298"/>
      <c r="I11" s="307"/>
      <c r="J11" s="307"/>
    </row>
    <row r="12" spans="1:10" x14ac:dyDescent="0.3">
      <c r="A12" s="377" t="str">
        <f t="shared" si="0"/>
        <v>ZI The Golden LEAF, Inc.</v>
      </c>
      <c r="B12" s="378" t="s">
        <v>87</v>
      </c>
      <c r="C12" s="200" t="str">
        <f t="shared" si="1"/>
        <v>ZI</v>
      </c>
      <c r="D12" s="199" t="s">
        <v>473</v>
      </c>
      <c r="E12" s="199" t="s">
        <v>65</v>
      </c>
      <c r="F12" s="376">
        <v>2640</v>
      </c>
      <c r="G12" s="307">
        <f>PriorYrBal!J80</f>
        <v>1217956614.21</v>
      </c>
      <c r="H12" s="298"/>
      <c r="I12" s="307"/>
      <c r="J12" s="307"/>
    </row>
    <row r="13" spans="1:10" x14ac:dyDescent="0.3">
      <c r="A13" s="377" t="str">
        <f t="shared" si="0"/>
        <v>ZM Economic Development Partnership of NC</v>
      </c>
      <c r="B13" s="200" t="s">
        <v>935</v>
      </c>
      <c r="C13" s="200" t="s">
        <v>935</v>
      </c>
      <c r="D13" s="199" t="s">
        <v>936</v>
      </c>
      <c r="E13" s="199" t="s">
        <v>65</v>
      </c>
      <c r="F13" s="376">
        <v>2644</v>
      </c>
      <c r="G13" s="307">
        <f>PriorYrBal!K80</f>
        <v>4872913</v>
      </c>
      <c r="H13" s="298"/>
      <c r="I13" s="307"/>
      <c r="J13" s="307"/>
    </row>
    <row r="14" spans="1:10" x14ac:dyDescent="0.3">
      <c r="A14" s="377" t="str">
        <f t="shared" si="0"/>
        <v xml:space="preserve"> </v>
      </c>
      <c r="B14" s="378" t="s">
        <v>226</v>
      </c>
      <c r="C14" s="200"/>
      <c r="F14" s="376"/>
      <c r="H14" s="298"/>
      <c r="I14" s="307"/>
      <c r="J14" s="307"/>
    </row>
    <row r="16" spans="1:10" x14ac:dyDescent="0.3">
      <c r="D16" s="306"/>
    </row>
  </sheetData>
  <sheetProtection algorithmName="SHA-512" hashValue="LwQ3+qF+ydUY9zSTYcb5rg82rxuI+VZo4VCwf6OAcNsQb67sbXpIRo9/9l6F9EDYiTSaaFzngxztXj34SYFgPw==" saltValue="FTeftY9RG+MWCcTFsXxIqw==" spinCount="100000" sheet="1" autoFilter="0"/>
  <phoneticPr fontId="12" type="noConversion"/>
  <pageMargins left="0.45" right="0.45" top="0.75" bottom="0.75" header="0.3" footer="0.3"/>
  <pageSetup scale="7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9">
    <tabColor rgb="FFFFFF00"/>
  </sheetPr>
  <dimension ref="A1:S146"/>
  <sheetViews>
    <sheetView topLeftCell="C1" zoomScaleNormal="100" workbookViewId="0">
      <selection activeCell="D3" sqref="D3"/>
    </sheetView>
  </sheetViews>
  <sheetFormatPr defaultColWidth="9.109375" defaultRowHeight="15.6" x14ac:dyDescent="0.3"/>
  <cols>
    <col min="1" max="1" width="16.5546875" style="199" hidden="1" customWidth="1"/>
    <col min="2" max="2" width="18.88671875" style="199" hidden="1" customWidth="1"/>
    <col min="3" max="3" width="8.88671875" style="199" customWidth="1"/>
    <col min="4" max="4" width="42.44140625" style="199" customWidth="1"/>
    <col min="5" max="6" width="10.5546875" style="199" customWidth="1"/>
    <col min="7" max="7" width="20.44140625" style="199" customWidth="1"/>
    <col min="8" max="8" width="21.88671875" style="199" customWidth="1"/>
    <col min="9" max="9" width="15.88671875" style="199" customWidth="1"/>
    <col min="10" max="10" width="69.109375" style="199" customWidth="1"/>
    <col min="11" max="17" width="9.109375" style="199"/>
    <col min="18" max="18" width="10.44140625" style="199" customWidth="1"/>
    <col min="19" max="16384" width="9.109375" style="199"/>
  </cols>
  <sheetData>
    <row r="1" spans="1:19" ht="31.2" x14ac:dyDescent="0.3">
      <c r="B1" s="200"/>
      <c r="C1" s="503" t="s">
        <v>1556</v>
      </c>
      <c r="D1" s="504" t="s">
        <v>275</v>
      </c>
      <c r="E1" s="201"/>
      <c r="F1" s="308" t="s">
        <v>1557</v>
      </c>
      <c r="G1" s="446"/>
      <c r="I1" s="446" t="s">
        <v>794</v>
      </c>
    </row>
    <row r="2" spans="1:19" ht="33" customHeight="1" x14ac:dyDescent="0.3">
      <c r="A2" s="199" t="s">
        <v>216</v>
      </c>
      <c r="B2" s="200" t="s">
        <v>217</v>
      </c>
      <c r="C2" s="505" t="s">
        <v>795</v>
      </c>
      <c r="D2" s="506" t="s">
        <v>1555</v>
      </c>
      <c r="E2" s="447" t="s">
        <v>796</v>
      </c>
      <c r="F2" s="446" t="s">
        <v>658</v>
      </c>
      <c r="G2" s="446" t="s">
        <v>1558</v>
      </c>
      <c r="H2" s="446" t="s">
        <v>1559</v>
      </c>
      <c r="I2" s="446" t="s">
        <v>1560</v>
      </c>
      <c r="J2" s="308" t="s">
        <v>1561</v>
      </c>
      <c r="N2" s="199" t="s">
        <v>1318</v>
      </c>
      <c r="O2" s="199" t="s">
        <v>1319</v>
      </c>
      <c r="R2" s="199" t="s">
        <v>1318</v>
      </c>
      <c r="S2" s="199" t="s">
        <v>1320</v>
      </c>
    </row>
    <row r="3" spans="1:19" x14ac:dyDescent="0.3">
      <c r="A3" s="199" t="str">
        <f>C3&amp;" "&amp;D3</f>
        <v>01 North Carolina General Assembly</v>
      </c>
      <c r="B3" s="200">
        <v>1</v>
      </c>
      <c r="C3" s="200" t="str">
        <f t="shared" ref="C3:C9" si="0">TEXT(B3,"00")</f>
        <v>01</v>
      </c>
      <c r="D3" s="199" t="s">
        <v>388</v>
      </c>
      <c r="E3" s="199" t="s">
        <v>389</v>
      </c>
      <c r="F3" s="199" t="s">
        <v>390</v>
      </c>
      <c r="G3" s="376" t="s">
        <v>1196</v>
      </c>
      <c r="H3" s="199" t="s">
        <v>1197</v>
      </c>
      <c r="I3" s="376"/>
      <c r="N3" s="199" t="s">
        <v>431</v>
      </c>
      <c r="O3" s="199" t="s">
        <v>1308</v>
      </c>
      <c r="R3" s="199" t="s">
        <v>431</v>
      </c>
      <c r="S3" s="199" t="s">
        <v>1321</v>
      </c>
    </row>
    <row r="4" spans="1:19" x14ac:dyDescent="0.3">
      <c r="A4" s="199" t="str">
        <f t="shared" ref="A4:A9" si="1">C4&amp;" "&amp;D4</f>
        <v>02 Administrative Office of the Courts</v>
      </c>
      <c r="B4" s="200">
        <v>2</v>
      </c>
      <c r="C4" s="200" t="str">
        <f t="shared" si="0"/>
        <v>02</v>
      </c>
      <c r="D4" s="199" t="s">
        <v>391</v>
      </c>
      <c r="E4" s="199" t="s">
        <v>389</v>
      </c>
      <c r="F4" s="199" t="s">
        <v>390</v>
      </c>
      <c r="G4" s="376" t="s">
        <v>1352</v>
      </c>
      <c r="H4" s="199" t="s">
        <v>1353</v>
      </c>
      <c r="I4" s="376"/>
      <c r="N4" s="199" t="s">
        <v>594</v>
      </c>
      <c r="O4" s="199" t="s">
        <v>1309</v>
      </c>
      <c r="R4" s="199" t="s">
        <v>594</v>
      </c>
      <c r="S4" s="199" t="s">
        <v>1322</v>
      </c>
    </row>
    <row r="5" spans="1:19" x14ac:dyDescent="0.3">
      <c r="A5" s="199" t="str">
        <f t="shared" si="1"/>
        <v>03 Office of the Governor</v>
      </c>
      <c r="B5" s="200">
        <v>3</v>
      </c>
      <c r="C5" s="200" t="str">
        <f t="shared" si="0"/>
        <v>03</v>
      </c>
      <c r="D5" s="199" t="s">
        <v>392</v>
      </c>
      <c r="E5" s="199" t="s">
        <v>389</v>
      </c>
      <c r="F5" s="199" t="s">
        <v>390</v>
      </c>
      <c r="G5" s="376" t="s">
        <v>1114</v>
      </c>
      <c r="H5" s="199" t="s">
        <v>1198</v>
      </c>
      <c r="I5" s="376"/>
      <c r="N5" s="199" t="s">
        <v>219</v>
      </c>
      <c r="O5" s="199" t="s">
        <v>1310</v>
      </c>
      <c r="R5" s="199" t="s">
        <v>592</v>
      </c>
      <c r="S5" s="199" t="s">
        <v>1323</v>
      </c>
    </row>
    <row r="6" spans="1:19" x14ac:dyDescent="0.3">
      <c r="A6" s="199" t="str">
        <f t="shared" si="1"/>
        <v>04 Office of Lieutenant Governor</v>
      </c>
      <c r="B6" s="200">
        <v>4</v>
      </c>
      <c r="C6" s="200" t="str">
        <f t="shared" si="0"/>
        <v>04</v>
      </c>
      <c r="D6" s="199" t="s">
        <v>393</v>
      </c>
      <c r="E6" s="199" t="s">
        <v>389</v>
      </c>
      <c r="F6" s="199" t="s">
        <v>390</v>
      </c>
      <c r="G6" s="376" t="s">
        <v>1455</v>
      </c>
      <c r="H6" s="199" t="s">
        <v>1456</v>
      </c>
      <c r="I6" s="376"/>
      <c r="N6" s="199" t="s">
        <v>592</v>
      </c>
      <c r="O6" s="199" t="s">
        <v>1310</v>
      </c>
      <c r="R6" s="199" t="s">
        <v>221</v>
      </c>
      <c r="S6" s="199" t="s">
        <v>1324</v>
      </c>
    </row>
    <row r="7" spans="1:19" x14ac:dyDescent="0.3">
      <c r="A7" s="199" t="str">
        <f t="shared" si="1"/>
        <v>05 Office of the Secretary of State</v>
      </c>
      <c r="B7" s="200">
        <v>5</v>
      </c>
      <c r="C7" s="200" t="str">
        <f t="shared" si="0"/>
        <v>05</v>
      </c>
      <c r="D7" s="199" t="s">
        <v>394</v>
      </c>
      <c r="E7" s="199" t="s">
        <v>389</v>
      </c>
      <c r="F7" s="199" t="s">
        <v>390</v>
      </c>
      <c r="G7" s="376" t="s">
        <v>961</v>
      </c>
      <c r="H7" s="199" t="s">
        <v>1199</v>
      </c>
      <c r="I7" s="376"/>
      <c r="N7" s="199" t="s">
        <v>221</v>
      </c>
      <c r="O7" s="199" t="s">
        <v>1311</v>
      </c>
      <c r="R7" s="199" t="s">
        <v>471</v>
      </c>
      <c r="S7" s="199" t="s">
        <v>1325</v>
      </c>
    </row>
    <row r="8" spans="1:19" x14ac:dyDescent="0.3">
      <c r="A8" s="199" t="str">
        <f t="shared" si="1"/>
        <v>06 Office of the State Auditor</v>
      </c>
      <c r="B8" s="200">
        <v>6</v>
      </c>
      <c r="C8" s="200" t="str">
        <f t="shared" si="0"/>
        <v>06</v>
      </c>
      <c r="D8" s="199" t="s">
        <v>395</v>
      </c>
      <c r="E8" s="199" t="s">
        <v>389</v>
      </c>
      <c r="F8" s="199" t="s">
        <v>390</v>
      </c>
      <c r="G8" s="376" t="s">
        <v>1330</v>
      </c>
      <c r="H8" s="199" t="s">
        <v>797</v>
      </c>
      <c r="I8" s="376"/>
      <c r="K8" s="199" t="b">
        <f t="shared" ref="K8:L21" si="2">ISTEXT(B8)</f>
        <v>0</v>
      </c>
      <c r="L8" s="199" t="b">
        <f t="shared" si="2"/>
        <v>1</v>
      </c>
      <c r="N8" s="199" t="s">
        <v>223</v>
      </c>
      <c r="O8" s="199" t="s">
        <v>1312</v>
      </c>
      <c r="R8" s="199" t="s">
        <v>732</v>
      </c>
      <c r="S8" s="199" t="s">
        <v>1326</v>
      </c>
    </row>
    <row r="9" spans="1:19" ht="16.5" customHeight="1" x14ac:dyDescent="0.3">
      <c r="A9" s="199" t="str">
        <f t="shared" si="1"/>
        <v xml:space="preserve">07 Department of the State Treasurer </v>
      </c>
      <c r="B9" s="200">
        <v>7</v>
      </c>
      <c r="C9" s="200" t="str">
        <f t="shared" si="0"/>
        <v>07</v>
      </c>
      <c r="D9" s="199" t="s">
        <v>396</v>
      </c>
      <c r="E9" s="199" t="s">
        <v>389</v>
      </c>
      <c r="F9" s="199" t="s">
        <v>390</v>
      </c>
      <c r="G9" s="376" t="s">
        <v>798</v>
      </c>
      <c r="H9" s="199" t="s">
        <v>1018</v>
      </c>
      <c r="I9" s="309"/>
      <c r="J9" s="448"/>
      <c r="K9" s="199" t="b">
        <f t="shared" si="2"/>
        <v>0</v>
      </c>
      <c r="L9" s="199" t="b">
        <f t="shared" si="2"/>
        <v>1</v>
      </c>
      <c r="N9" s="199" t="s">
        <v>471</v>
      </c>
      <c r="O9" s="199" t="s">
        <v>1313</v>
      </c>
      <c r="R9" s="199" t="s">
        <v>323</v>
      </c>
      <c r="S9" s="199" t="s">
        <v>1327</v>
      </c>
    </row>
    <row r="10" spans="1:19" ht="16.5" customHeight="1" x14ac:dyDescent="0.3">
      <c r="A10" s="199" t="e">
        <f>#REF!&amp;" "&amp;#REF!</f>
        <v>#REF!</v>
      </c>
      <c r="B10" s="200" t="s">
        <v>1209</v>
      </c>
      <c r="C10" s="200" t="str">
        <f>TEXT(B11,"00")</f>
        <v>07</v>
      </c>
      <c r="D10" s="559" t="s">
        <v>1115</v>
      </c>
      <c r="E10" s="199" t="s">
        <v>1116</v>
      </c>
      <c r="F10" s="199" t="s">
        <v>390</v>
      </c>
      <c r="G10" s="376" t="s">
        <v>798</v>
      </c>
      <c r="H10" s="199" t="s">
        <v>1018</v>
      </c>
      <c r="I10" s="376">
        <v>2629</v>
      </c>
      <c r="J10" s="448"/>
      <c r="K10" s="199" t="b">
        <f>ISTEXT(B11)</f>
        <v>0</v>
      </c>
      <c r="L10" s="199" t="b">
        <f t="shared" si="2"/>
        <v>1</v>
      </c>
      <c r="N10" s="199" t="s">
        <v>732</v>
      </c>
      <c r="O10" s="199" t="s">
        <v>1314</v>
      </c>
      <c r="R10" s="199" t="s">
        <v>87</v>
      </c>
      <c r="S10" s="199" t="s">
        <v>1328</v>
      </c>
    </row>
    <row r="11" spans="1:19" ht="16.5" customHeight="1" x14ac:dyDescent="0.3">
      <c r="A11" s="199" t="str">
        <f>C10&amp;" "&amp;D10</f>
        <v>07 State Health Plan</v>
      </c>
      <c r="B11" s="200">
        <v>7</v>
      </c>
      <c r="C11" s="200" t="str">
        <f t="shared" ref="C11:C46" si="3">TEXT(B13,"00")</f>
        <v>08</v>
      </c>
      <c r="D11" s="199" t="s">
        <v>397</v>
      </c>
      <c r="E11" s="199" t="s">
        <v>389</v>
      </c>
      <c r="F11" s="199" t="s">
        <v>390</v>
      </c>
      <c r="G11" s="376" t="s">
        <v>799</v>
      </c>
      <c r="H11" s="199" t="s">
        <v>1161</v>
      </c>
      <c r="I11" s="309"/>
      <c r="K11" s="199" t="b">
        <f t="shared" ref="K11:K33" si="4">ISTEXT(B13)</f>
        <v>0</v>
      </c>
      <c r="L11" s="199" t="b">
        <f t="shared" si="2"/>
        <v>1</v>
      </c>
      <c r="N11" s="199" t="s">
        <v>323</v>
      </c>
      <c r="O11" s="199" t="s">
        <v>1315</v>
      </c>
      <c r="R11" s="199" t="s">
        <v>935</v>
      </c>
      <c r="S11" s="199" t="s">
        <v>1329</v>
      </c>
    </row>
    <row r="12" spans="1:19" ht="16.5" customHeight="1" x14ac:dyDescent="0.3">
      <c r="A12" s="199" t="e">
        <f>#REF!&amp;" "&amp;#REF!</f>
        <v>#REF!</v>
      </c>
      <c r="B12" s="200" t="s">
        <v>1209</v>
      </c>
      <c r="C12" s="200" t="str">
        <f t="shared" si="3"/>
        <v>09</v>
      </c>
      <c r="D12" s="199" t="s">
        <v>398</v>
      </c>
      <c r="E12" s="199" t="s">
        <v>389</v>
      </c>
      <c r="F12" s="199" t="s">
        <v>390</v>
      </c>
      <c r="G12" s="376" t="s">
        <v>992</v>
      </c>
      <c r="H12" s="501" t="s">
        <v>993</v>
      </c>
      <c r="I12" s="376"/>
      <c r="K12" s="199" t="b">
        <f t="shared" si="4"/>
        <v>0</v>
      </c>
      <c r="L12" s="199" t="b">
        <f t="shared" si="2"/>
        <v>1</v>
      </c>
      <c r="N12" s="199" t="s">
        <v>87</v>
      </c>
      <c r="O12" s="199" t="s">
        <v>1316</v>
      </c>
    </row>
    <row r="13" spans="1:19" ht="17.25" customHeight="1" x14ac:dyDescent="0.3">
      <c r="A13" s="199" t="str">
        <f t="shared" ref="A13:A44" si="5">C11&amp;" "&amp;D11</f>
        <v xml:space="preserve">08 Department of Public Instruction </v>
      </c>
      <c r="B13" s="200">
        <v>8</v>
      </c>
      <c r="C13" s="200" t="str">
        <f t="shared" si="3"/>
        <v>10</v>
      </c>
      <c r="D13" s="199" t="s">
        <v>399</v>
      </c>
      <c r="E13" s="199" t="s">
        <v>389</v>
      </c>
      <c r="F13" s="199" t="s">
        <v>390</v>
      </c>
      <c r="G13" s="376" t="s">
        <v>1200</v>
      </c>
      <c r="H13" s="199" t="s">
        <v>800</v>
      </c>
      <c r="I13" s="376"/>
      <c r="K13" s="199" t="b">
        <f t="shared" si="4"/>
        <v>0</v>
      </c>
      <c r="L13" s="199" t="b">
        <f t="shared" si="2"/>
        <v>1</v>
      </c>
      <c r="N13" s="199" t="s">
        <v>935</v>
      </c>
      <c r="O13" s="199" t="s">
        <v>1317</v>
      </c>
    </row>
    <row r="14" spans="1:19" x14ac:dyDescent="0.3">
      <c r="A14" s="199" t="str">
        <f t="shared" si="5"/>
        <v xml:space="preserve">09 Department of Justice </v>
      </c>
      <c r="B14" s="200">
        <v>9</v>
      </c>
      <c r="C14" s="200" t="str">
        <f t="shared" si="3"/>
        <v>11</v>
      </c>
      <c r="D14" s="199" t="s">
        <v>401</v>
      </c>
      <c r="E14" s="199" t="s">
        <v>389</v>
      </c>
      <c r="F14" s="199" t="s">
        <v>390</v>
      </c>
      <c r="G14" s="376" t="s">
        <v>1339</v>
      </c>
      <c r="H14" s="199" t="s">
        <v>1340</v>
      </c>
      <c r="I14" s="376"/>
      <c r="K14" s="199" t="b">
        <f t="shared" si="4"/>
        <v>0</v>
      </c>
      <c r="L14" s="199" t="b">
        <f t="shared" si="2"/>
        <v>1</v>
      </c>
    </row>
    <row r="15" spans="1:19" x14ac:dyDescent="0.3">
      <c r="A15" s="199" t="str">
        <f t="shared" si="5"/>
        <v>10 Department of Agriculture</v>
      </c>
      <c r="B15" s="200">
        <v>10</v>
      </c>
      <c r="C15" s="200" t="str">
        <f t="shared" si="3"/>
        <v>12</v>
      </c>
      <c r="D15" s="199" t="s">
        <v>402</v>
      </c>
      <c r="E15" s="199" t="s">
        <v>389</v>
      </c>
      <c r="F15" s="199" t="s">
        <v>390</v>
      </c>
      <c r="G15" s="376" t="s">
        <v>1341</v>
      </c>
      <c r="H15" s="199" t="s">
        <v>963</v>
      </c>
      <c r="I15" s="376"/>
      <c r="K15" s="199" t="b">
        <f t="shared" si="4"/>
        <v>0</v>
      </c>
      <c r="L15" s="199" t="b">
        <f t="shared" si="2"/>
        <v>1</v>
      </c>
    </row>
    <row r="16" spans="1:19" x14ac:dyDescent="0.3">
      <c r="A16" s="199" t="str">
        <f t="shared" si="5"/>
        <v>11 Department of Labor</v>
      </c>
      <c r="B16" s="200">
        <v>11</v>
      </c>
      <c r="C16" s="200" t="str">
        <f t="shared" si="3"/>
        <v>13</v>
      </c>
      <c r="D16" s="199" t="s">
        <v>403</v>
      </c>
      <c r="E16" s="199" t="s">
        <v>389</v>
      </c>
      <c r="F16" s="199" t="s">
        <v>390</v>
      </c>
      <c r="G16" s="376" t="s">
        <v>1455</v>
      </c>
      <c r="H16" s="199" t="s">
        <v>1456</v>
      </c>
      <c r="I16" s="376"/>
      <c r="K16" s="199" t="b">
        <f t="shared" si="4"/>
        <v>0</v>
      </c>
      <c r="L16" s="199" t="b">
        <f t="shared" si="2"/>
        <v>1</v>
      </c>
    </row>
    <row r="17" spans="1:12" x14ac:dyDescent="0.3">
      <c r="A17" s="199" t="str">
        <f t="shared" si="5"/>
        <v xml:space="preserve">12 Department of Insurance </v>
      </c>
      <c r="B17" s="200">
        <v>12</v>
      </c>
      <c r="C17" s="200" t="str">
        <f t="shared" si="3"/>
        <v>14</v>
      </c>
      <c r="D17" s="199" t="s">
        <v>404</v>
      </c>
      <c r="E17" s="199" t="s">
        <v>389</v>
      </c>
      <c r="F17" s="199" t="s">
        <v>390</v>
      </c>
      <c r="G17" s="376" t="s">
        <v>1331</v>
      </c>
      <c r="H17" s="199" t="s">
        <v>801</v>
      </c>
      <c r="I17" s="376"/>
      <c r="K17" s="199" t="b">
        <f t="shared" si="4"/>
        <v>0</v>
      </c>
      <c r="L17" s="199" t="b">
        <f t="shared" si="2"/>
        <v>1</v>
      </c>
    </row>
    <row r="18" spans="1:12" x14ac:dyDescent="0.3">
      <c r="A18" s="199" t="str">
        <f t="shared" si="5"/>
        <v xml:space="preserve">13 Department of Administration </v>
      </c>
      <c r="B18" s="200">
        <v>13</v>
      </c>
      <c r="C18" s="200" t="str">
        <f t="shared" si="3"/>
        <v>15</v>
      </c>
      <c r="D18" s="199" t="s">
        <v>405</v>
      </c>
      <c r="E18" s="199" t="s">
        <v>389</v>
      </c>
      <c r="F18" s="199" t="s">
        <v>390</v>
      </c>
      <c r="G18" s="376" t="s">
        <v>1332</v>
      </c>
      <c r="H18" s="199" t="s">
        <v>802</v>
      </c>
      <c r="I18" s="376"/>
      <c r="K18" s="199" t="b">
        <f t="shared" si="4"/>
        <v>0</v>
      </c>
      <c r="L18" s="199" t="b">
        <f t="shared" si="2"/>
        <v>1</v>
      </c>
    </row>
    <row r="19" spans="1:12" x14ac:dyDescent="0.3">
      <c r="A19" s="199" t="str">
        <f t="shared" si="5"/>
        <v xml:space="preserve">14 Office of the State Controller </v>
      </c>
      <c r="B19" s="200">
        <v>14</v>
      </c>
      <c r="C19" s="200" t="str">
        <f t="shared" si="3"/>
        <v>16</v>
      </c>
      <c r="D19" s="199" t="s">
        <v>994</v>
      </c>
      <c r="E19" s="199" t="s">
        <v>389</v>
      </c>
      <c r="F19" s="199" t="s">
        <v>390</v>
      </c>
      <c r="G19" s="376" t="s">
        <v>1162</v>
      </c>
      <c r="H19" s="199" t="s">
        <v>1052</v>
      </c>
      <c r="I19" s="310"/>
      <c r="K19" s="199" t="b">
        <f t="shared" si="4"/>
        <v>0</v>
      </c>
      <c r="L19" s="199" t="b">
        <f t="shared" si="2"/>
        <v>1</v>
      </c>
    </row>
    <row r="20" spans="1:12" x14ac:dyDescent="0.3">
      <c r="A20" s="199" t="str">
        <f t="shared" si="5"/>
        <v>15 Department of Transportation</v>
      </c>
      <c r="B20" s="200">
        <v>15</v>
      </c>
      <c r="C20" s="200" t="str">
        <f t="shared" si="3"/>
        <v>17</v>
      </c>
      <c r="D20" s="199" t="s">
        <v>406</v>
      </c>
      <c r="E20" s="199" t="s">
        <v>389</v>
      </c>
      <c r="F20" s="199" t="s">
        <v>390</v>
      </c>
      <c r="G20" s="640" t="s">
        <v>1572</v>
      </c>
      <c r="H20" s="199" t="s">
        <v>1573</v>
      </c>
      <c r="K20" s="199" t="b">
        <f t="shared" si="4"/>
        <v>0</v>
      </c>
      <c r="L20" s="199" t="b">
        <f t="shared" si="2"/>
        <v>1</v>
      </c>
    </row>
    <row r="21" spans="1:12" x14ac:dyDescent="0.3">
      <c r="A21" s="199" t="str">
        <f t="shared" si="5"/>
        <v>16 Department of Environmental Quality</v>
      </c>
      <c r="B21" s="200">
        <v>16</v>
      </c>
      <c r="C21" s="200" t="str">
        <f t="shared" si="3"/>
        <v>19</v>
      </c>
      <c r="D21" s="199" t="s">
        <v>666</v>
      </c>
      <c r="E21" s="199" t="s">
        <v>389</v>
      </c>
      <c r="F21" s="199" t="s">
        <v>390</v>
      </c>
      <c r="G21" s="376" t="s">
        <v>1333</v>
      </c>
      <c r="H21" s="199" t="s">
        <v>1334</v>
      </c>
      <c r="J21" s="448"/>
      <c r="K21" s="199" t="b">
        <f t="shared" si="4"/>
        <v>0</v>
      </c>
      <c r="L21" s="199" t="b">
        <f t="shared" si="2"/>
        <v>1</v>
      </c>
    </row>
    <row r="22" spans="1:12" x14ac:dyDescent="0.3">
      <c r="A22" s="199" t="str">
        <f t="shared" si="5"/>
        <v>17 Wildlife Resources Commission</v>
      </c>
      <c r="B22" s="200">
        <v>17</v>
      </c>
      <c r="C22" s="200" t="str">
        <f t="shared" si="3"/>
        <v>2X</v>
      </c>
      <c r="D22" s="199" t="s">
        <v>408</v>
      </c>
      <c r="E22" s="199" t="s">
        <v>389</v>
      </c>
      <c r="F22" s="199" t="s">
        <v>390</v>
      </c>
      <c r="G22" s="376" t="s">
        <v>803</v>
      </c>
      <c r="H22" s="199" t="s">
        <v>804</v>
      </c>
      <c r="J22" s="448"/>
      <c r="K22" s="199" t="b">
        <f t="shared" si="4"/>
        <v>1</v>
      </c>
      <c r="L22" s="199" t="b">
        <f t="shared" ref="L22:L32" si="6">ISTEXT(C22)</f>
        <v>1</v>
      </c>
    </row>
    <row r="23" spans="1:12" x14ac:dyDescent="0.3">
      <c r="A23" s="199" t="str">
        <f t="shared" si="5"/>
        <v>19 Dept. of Public Safety</v>
      </c>
      <c r="B23" s="200">
        <v>19</v>
      </c>
      <c r="C23" s="200" t="str">
        <f t="shared" si="3"/>
        <v>3X</v>
      </c>
      <c r="D23" s="199" t="s">
        <v>410</v>
      </c>
      <c r="E23" s="199" t="s">
        <v>389</v>
      </c>
      <c r="F23" s="199" t="s">
        <v>390</v>
      </c>
      <c r="G23" s="376" t="s">
        <v>995</v>
      </c>
      <c r="H23" s="199" t="s">
        <v>1147</v>
      </c>
      <c r="J23" s="448"/>
      <c r="K23" s="199" t="b">
        <f t="shared" si="4"/>
        <v>1</v>
      </c>
      <c r="L23" s="199" t="b">
        <f t="shared" si="6"/>
        <v>1</v>
      </c>
    </row>
    <row r="24" spans="1:12" x14ac:dyDescent="0.3">
      <c r="A24" s="199" t="str">
        <f t="shared" si="5"/>
        <v>2X Dept. of Health and Human Services</v>
      </c>
      <c r="B24" s="200" t="s">
        <v>407</v>
      </c>
      <c r="C24" s="200" t="str">
        <f t="shared" si="3"/>
        <v>40</v>
      </c>
      <c r="D24" s="199" t="s">
        <v>997</v>
      </c>
      <c r="E24" s="199" t="s">
        <v>389</v>
      </c>
      <c r="F24" s="199" t="s">
        <v>390</v>
      </c>
      <c r="G24" s="376" t="s">
        <v>1455</v>
      </c>
      <c r="H24" s="199" t="s">
        <v>1456</v>
      </c>
      <c r="K24" s="199" t="b">
        <f t="shared" si="4"/>
        <v>0</v>
      </c>
      <c r="L24" s="199" t="b">
        <f>ISTEXT(C24)</f>
        <v>1</v>
      </c>
    </row>
    <row r="25" spans="1:12" x14ac:dyDescent="0.3">
      <c r="A25" s="199" t="str">
        <f t="shared" si="5"/>
        <v>3X DHHS - Mental Health</v>
      </c>
      <c r="B25" s="200" t="s">
        <v>409</v>
      </c>
      <c r="C25" s="200" t="str">
        <f t="shared" si="3"/>
        <v>41</v>
      </c>
      <c r="D25" s="199" t="s">
        <v>998</v>
      </c>
      <c r="E25" s="199" t="s">
        <v>389</v>
      </c>
      <c r="F25" s="199" t="s">
        <v>390</v>
      </c>
      <c r="G25" s="376" t="s">
        <v>1202</v>
      </c>
      <c r="H25" s="199" t="s">
        <v>1203</v>
      </c>
      <c r="K25" s="199" t="b">
        <f t="shared" si="4"/>
        <v>0</v>
      </c>
      <c r="L25" s="199" t="b">
        <f t="shared" si="6"/>
        <v>1</v>
      </c>
    </row>
    <row r="26" spans="1:12" x14ac:dyDescent="0.3">
      <c r="A26" s="199" t="str">
        <f t="shared" si="5"/>
        <v>40 Department of Military &amp; Veterans Affairs</v>
      </c>
      <c r="B26" s="560">
        <v>40</v>
      </c>
      <c r="C26" s="200" t="str">
        <f t="shared" si="3"/>
        <v>43</v>
      </c>
      <c r="D26" s="199" t="s">
        <v>411</v>
      </c>
      <c r="E26" s="199" t="s">
        <v>389</v>
      </c>
      <c r="F26" s="199" t="s">
        <v>390</v>
      </c>
      <c r="G26" s="376" t="s">
        <v>1117</v>
      </c>
      <c r="H26" s="199" t="s">
        <v>1118</v>
      </c>
      <c r="J26" s="448"/>
      <c r="K26" s="199" t="b">
        <f t="shared" si="4"/>
        <v>0</v>
      </c>
      <c r="L26" s="199" t="b">
        <f t="shared" si="6"/>
        <v>1</v>
      </c>
    </row>
    <row r="27" spans="1:12" x14ac:dyDescent="0.3">
      <c r="A27" s="199" t="str">
        <f t="shared" si="5"/>
        <v>41 Department of Information Technology</v>
      </c>
      <c r="B27" s="200">
        <v>41</v>
      </c>
      <c r="C27" s="200" t="str">
        <f t="shared" si="3"/>
        <v>45</v>
      </c>
      <c r="D27" s="199" t="s">
        <v>412</v>
      </c>
      <c r="E27" s="199" t="s">
        <v>389</v>
      </c>
      <c r="F27" s="199" t="s">
        <v>390</v>
      </c>
      <c r="G27" s="376" t="s">
        <v>805</v>
      </c>
      <c r="H27" s="199" t="s">
        <v>806</v>
      </c>
      <c r="J27" s="448"/>
      <c r="K27" s="199" t="b">
        <f t="shared" si="4"/>
        <v>0</v>
      </c>
      <c r="L27" s="199" t="b">
        <f t="shared" si="6"/>
        <v>1</v>
      </c>
    </row>
    <row r="28" spans="1:12" x14ac:dyDescent="0.3">
      <c r="A28" s="199" t="str">
        <f t="shared" si="5"/>
        <v>43 Department of Commerce</v>
      </c>
      <c r="B28" s="200">
        <v>43</v>
      </c>
      <c r="C28" s="200" t="str">
        <f t="shared" si="3"/>
        <v>46</v>
      </c>
      <c r="D28" s="199" t="s">
        <v>999</v>
      </c>
      <c r="E28" s="199" t="s">
        <v>389</v>
      </c>
      <c r="F28" s="199" t="s">
        <v>390</v>
      </c>
      <c r="G28" s="376" t="s">
        <v>964</v>
      </c>
      <c r="H28" s="199" t="s">
        <v>1204</v>
      </c>
      <c r="K28" s="199" t="b">
        <f t="shared" si="4"/>
        <v>0</v>
      </c>
      <c r="L28" s="199" t="b">
        <f t="shared" si="6"/>
        <v>1</v>
      </c>
    </row>
    <row r="29" spans="1:12" x14ac:dyDescent="0.3">
      <c r="A29" s="199" t="str">
        <f t="shared" si="5"/>
        <v>45 Department of Revenue</v>
      </c>
      <c r="B29" s="200">
        <v>45</v>
      </c>
      <c r="C29" s="200" t="str">
        <f t="shared" si="3"/>
        <v>48X</v>
      </c>
      <c r="D29" s="199" t="s">
        <v>808</v>
      </c>
      <c r="E29" s="199" t="s">
        <v>414</v>
      </c>
      <c r="F29" s="199" t="s">
        <v>387</v>
      </c>
      <c r="G29" s="376" t="s">
        <v>1205</v>
      </c>
      <c r="H29" s="199" t="s">
        <v>1206</v>
      </c>
      <c r="I29" s="199" t="s">
        <v>809</v>
      </c>
      <c r="K29" s="199" t="b">
        <f t="shared" si="4"/>
        <v>1</v>
      </c>
      <c r="L29" s="199" t="b">
        <f t="shared" si="6"/>
        <v>1</v>
      </c>
    </row>
    <row r="30" spans="1:12" x14ac:dyDescent="0.3">
      <c r="A30" s="199" t="str">
        <f t="shared" si="5"/>
        <v>46 Department of Natural and Cultural Resources</v>
      </c>
      <c r="B30" s="200">
        <v>46</v>
      </c>
      <c r="C30" s="200" t="str">
        <f t="shared" si="3"/>
        <v>48</v>
      </c>
      <c r="D30" s="199" t="s">
        <v>413</v>
      </c>
      <c r="E30" s="199" t="s">
        <v>414</v>
      </c>
      <c r="F30" s="199" t="s">
        <v>387</v>
      </c>
      <c r="G30" s="376" t="s">
        <v>1163</v>
      </c>
      <c r="H30" s="199" t="s">
        <v>1164</v>
      </c>
      <c r="I30" s="199" t="s">
        <v>415</v>
      </c>
      <c r="K30" s="199" t="b">
        <f t="shared" si="4"/>
        <v>0</v>
      </c>
      <c r="L30" s="199" t="b">
        <f t="shared" si="6"/>
        <v>1</v>
      </c>
    </row>
    <row r="31" spans="1:12" x14ac:dyDescent="0.3">
      <c r="A31" s="449" t="str">
        <f t="shared" si="5"/>
        <v>48X UNC Hlth Care Rep Unit (Combined Pkg)</v>
      </c>
      <c r="B31" s="200" t="s">
        <v>807</v>
      </c>
      <c r="C31" s="200" t="str">
        <f t="shared" si="3"/>
        <v>48E</v>
      </c>
      <c r="D31" s="199" t="s">
        <v>417</v>
      </c>
      <c r="E31" s="199" t="s">
        <v>414</v>
      </c>
      <c r="F31" s="199" t="s">
        <v>387</v>
      </c>
      <c r="G31" s="376" t="s">
        <v>1335</v>
      </c>
      <c r="H31" s="199" t="s">
        <v>1336</v>
      </c>
      <c r="I31" s="376">
        <v>2635</v>
      </c>
      <c r="K31" s="199" t="b">
        <f t="shared" si="4"/>
        <v>1</v>
      </c>
      <c r="L31" s="199" t="b">
        <f t="shared" si="6"/>
        <v>1</v>
      </c>
    </row>
    <row r="32" spans="1:12" x14ac:dyDescent="0.3">
      <c r="A32" s="199" t="str">
        <f t="shared" si="5"/>
        <v>48 UNC Hospitals</v>
      </c>
      <c r="B32" s="200">
        <v>48</v>
      </c>
      <c r="C32" s="200" t="str">
        <f t="shared" si="3"/>
        <v>48L</v>
      </c>
      <c r="D32" s="199" t="s">
        <v>419</v>
      </c>
      <c r="E32" s="199" t="s">
        <v>414</v>
      </c>
      <c r="F32" s="199" t="s">
        <v>387</v>
      </c>
      <c r="G32" s="376" t="s">
        <v>1000</v>
      </c>
      <c r="H32" s="199" t="s">
        <v>1001</v>
      </c>
      <c r="I32" s="376">
        <v>2632</v>
      </c>
      <c r="K32" s="199" t="b">
        <f t="shared" si="4"/>
        <v>1</v>
      </c>
      <c r="L32" s="199" t="b">
        <f t="shared" si="6"/>
        <v>1</v>
      </c>
    </row>
    <row r="33" spans="1:11" x14ac:dyDescent="0.3">
      <c r="A33" s="199" t="str">
        <f t="shared" si="5"/>
        <v>48E UNC Hospitals - Enterprise Fund</v>
      </c>
      <c r="B33" s="200" t="s">
        <v>416</v>
      </c>
      <c r="C33" s="200" t="str">
        <f t="shared" si="3"/>
        <v>48R</v>
      </c>
      <c r="D33" s="199" t="s">
        <v>421</v>
      </c>
      <c r="E33" s="199" t="s">
        <v>414</v>
      </c>
      <c r="F33" s="199" t="s">
        <v>387</v>
      </c>
      <c r="G33" s="376" t="s">
        <v>1165</v>
      </c>
      <c r="H33" s="199" t="s">
        <v>1166</v>
      </c>
      <c r="I33" s="376">
        <v>2637</v>
      </c>
      <c r="K33" s="199" t="b">
        <f t="shared" si="4"/>
        <v>1</v>
      </c>
    </row>
    <row r="34" spans="1:11" x14ac:dyDescent="0.3">
      <c r="A34" s="199" t="str">
        <f t="shared" si="5"/>
        <v>48L UNC Hospitals - LITF</v>
      </c>
      <c r="B34" s="200" t="s">
        <v>418</v>
      </c>
      <c r="C34" s="200" t="str">
        <f t="shared" si="3"/>
        <v>48C</v>
      </c>
      <c r="D34" s="199" t="s">
        <v>608</v>
      </c>
      <c r="E34" s="199" t="s">
        <v>414</v>
      </c>
      <c r="F34" s="199" t="s">
        <v>387</v>
      </c>
      <c r="G34" s="376" t="s">
        <v>1167</v>
      </c>
      <c r="H34" s="199" t="s">
        <v>1168</v>
      </c>
      <c r="I34" s="376">
        <v>2638</v>
      </c>
    </row>
    <row r="35" spans="1:11" x14ac:dyDescent="0.3">
      <c r="A35" s="199" t="str">
        <f t="shared" si="5"/>
        <v>48R Rex Healthcare</v>
      </c>
      <c r="B35" s="200" t="s">
        <v>420</v>
      </c>
      <c r="C35" s="200" t="str">
        <f t="shared" si="3"/>
        <v>48T</v>
      </c>
      <c r="D35" s="199" t="s">
        <v>1068</v>
      </c>
      <c r="E35" s="199" t="s">
        <v>414</v>
      </c>
      <c r="F35" s="199" t="s">
        <v>387</v>
      </c>
      <c r="G35" s="376" t="s">
        <v>1337</v>
      </c>
      <c r="H35" s="199" t="s">
        <v>1338</v>
      </c>
      <c r="I35" s="376">
        <v>2639</v>
      </c>
    </row>
    <row r="36" spans="1:11" x14ac:dyDescent="0.3">
      <c r="A36" s="199" t="str">
        <f t="shared" si="5"/>
        <v>48C Chatham Hospital</v>
      </c>
      <c r="B36" s="200" t="s">
        <v>593</v>
      </c>
      <c r="C36" s="200" t="str">
        <f t="shared" si="3"/>
        <v>48HP</v>
      </c>
      <c r="D36" s="199" t="s">
        <v>1169</v>
      </c>
      <c r="E36" s="199" t="s">
        <v>414</v>
      </c>
      <c r="F36" s="199" t="s">
        <v>387</v>
      </c>
      <c r="G36" s="376" t="s">
        <v>1163</v>
      </c>
      <c r="H36" s="199" t="s">
        <v>1164</v>
      </c>
      <c r="I36" s="376" t="s">
        <v>809</v>
      </c>
    </row>
    <row r="37" spans="1:11" x14ac:dyDescent="0.3">
      <c r="A37" s="450" t="str">
        <f t="shared" si="5"/>
        <v>48T UNC Physicians Network</v>
      </c>
      <c r="B37" s="200" t="s">
        <v>656</v>
      </c>
      <c r="C37" s="200" t="str">
        <f t="shared" si="3"/>
        <v>48CW</v>
      </c>
      <c r="D37" s="199" t="s">
        <v>813</v>
      </c>
      <c r="E37" s="199" t="s">
        <v>414</v>
      </c>
      <c r="F37" s="199" t="s">
        <v>387</v>
      </c>
      <c r="G37" s="376" t="s">
        <v>1167</v>
      </c>
      <c r="H37" s="199" t="s">
        <v>1168</v>
      </c>
      <c r="I37" s="376" t="s">
        <v>809</v>
      </c>
      <c r="J37" s="450"/>
    </row>
    <row r="38" spans="1:11" x14ac:dyDescent="0.3">
      <c r="A38" s="450" t="str">
        <f t="shared" si="5"/>
        <v>48HP UNC Rockingham Health Care</v>
      </c>
      <c r="B38" s="200" t="s">
        <v>810</v>
      </c>
      <c r="C38" s="200" t="str">
        <f t="shared" si="3"/>
        <v>50</v>
      </c>
      <c r="D38" s="199" t="s">
        <v>422</v>
      </c>
      <c r="E38" s="199" t="s">
        <v>389</v>
      </c>
      <c r="F38" s="199" t="s">
        <v>390</v>
      </c>
      <c r="G38" s="376" t="s">
        <v>1201</v>
      </c>
      <c r="H38" s="499" t="s">
        <v>1085</v>
      </c>
    </row>
    <row r="39" spans="1:11" x14ac:dyDescent="0.3">
      <c r="A39" s="450" t="str">
        <f t="shared" si="5"/>
        <v>48CW Caldwell Memorial Hospital</v>
      </c>
      <c r="B39" s="200" t="s">
        <v>812</v>
      </c>
      <c r="C39" s="200" t="str">
        <f t="shared" si="3"/>
        <v>60</v>
      </c>
      <c r="D39" s="199" t="s">
        <v>423</v>
      </c>
      <c r="E39" s="199" t="s">
        <v>389</v>
      </c>
      <c r="F39" s="199" t="s">
        <v>390</v>
      </c>
      <c r="G39" s="376" t="s">
        <v>1455</v>
      </c>
      <c r="H39" s="199" t="s">
        <v>1456</v>
      </c>
    </row>
    <row r="40" spans="1:11" x14ac:dyDescent="0.3">
      <c r="A40" s="199" t="str">
        <f t="shared" si="5"/>
        <v>50 Community College System Office</v>
      </c>
      <c r="B40" s="200">
        <v>50</v>
      </c>
      <c r="C40" s="200" t="str">
        <f t="shared" si="3"/>
        <v>61</v>
      </c>
      <c r="D40" s="199" t="s">
        <v>425</v>
      </c>
      <c r="E40" s="199" t="s">
        <v>389</v>
      </c>
      <c r="F40" s="199" t="s">
        <v>390</v>
      </c>
      <c r="G40" s="376" t="s">
        <v>814</v>
      </c>
      <c r="H40" s="199" t="s">
        <v>815</v>
      </c>
    </row>
    <row r="41" spans="1:11" x14ac:dyDescent="0.3">
      <c r="A41" s="199" t="str">
        <f t="shared" si="5"/>
        <v>60 State Board of Elections</v>
      </c>
      <c r="B41" s="200">
        <v>60</v>
      </c>
      <c r="C41" s="200" t="str">
        <f t="shared" si="3"/>
        <v>67</v>
      </c>
      <c r="D41" s="199" t="s">
        <v>426</v>
      </c>
      <c r="E41" s="199" t="s">
        <v>389</v>
      </c>
      <c r="F41" s="199" t="s">
        <v>390</v>
      </c>
      <c r="G41" s="376" t="s">
        <v>1084</v>
      </c>
      <c r="H41" s="199" t="s">
        <v>816</v>
      </c>
    </row>
    <row r="42" spans="1:11" x14ac:dyDescent="0.3">
      <c r="A42" s="199" t="str">
        <f t="shared" si="5"/>
        <v>61 NC Education Lottery</v>
      </c>
      <c r="B42" s="200" t="s">
        <v>424</v>
      </c>
      <c r="C42" s="200" t="str">
        <f t="shared" si="3"/>
        <v>69</v>
      </c>
      <c r="D42" s="199" t="s">
        <v>428</v>
      </c>
      <c r="E42" s="199" t="s">
        <v>389</v>
      </c>
      <c r="F42" s="199" t="s">
        <v>387</v>
      </c>
      <c r="G42" s="376" t="s">
        <v>1086</v>
      </c>
      <c r="H42" s="199" t="s">
        <v>1190</v>
      </c>
    </row>
    <row r="43" spans="1:11" x14ac:dyDescent="0.3">
      <c r="A43" s="199" t="str">
        <f t="shared" si="5"/>
        <v>67 Office of Administrative Hearings</v>
      </c>
      <c r="B43" s="200">
        <v>67</v>
      </c>
      <c r="C43" s="200" t="str">
        <f t="shared" si="3"/>
        <v>6BC</v>
      </c>
      <c r="D43" s="450" t="s">
        <v>818</v>
      </c>
      <c r="E43" s="199" t="s">
        <v>389</v>
      </c>
      <c r="F43" s="199" t="s">
        <v>387</v>
      </c>
      <c r="G43" s="376" t="s">
        <v>798</v>
      </c>
      <c r="H43" s="199" t="s">
        <v>1018</v>
      </c>
      <c r="J43" s="449"/>
    </row>
    <row r="44" spans="1:11" x14ac:dyDescent="0.3">
      <c r="A44" s="199" t="str">
        <f t="shared" si="5"/>
        <v>69 USS North Carolina Battleship Comm.</v>
      </c>
      <c r="B44" s="200" t="s">
        <v>427</v>
      </c>
      <c r="C44" s="200" t="str">
        <f t="shared" si="3"/>
        <v>87</v>
      </c>
      <c r="D44" s="199" t="s">
        <v>429</v>
      </c>
      <c r="E44" s="199" t="s">
        <v>414</v>
      </c>
      <c r="F44" s="199" t="s">
        <v>390</v>
      </c>
      <c r="G44" s="376" t="s">
        <v>869</v>
      </c>
      <c r="H44" s="199" t="s">
        <v>1053</v>
      </c>
      <c r="I44" s="199" t="s">
        <v>430</v>
      </c>
      <c r="J44" s="448" t="s">
        <v>819</v>
      </c>
    </row>
    <row r="45" spans="1:11" x14ac:dyDescent="0.3">
      <c r="A45" s="199" t="str">
        <f t="shared" ref="A45:A68" si="7">C43&amp;" "&amp;D43</f>
        <v>6BC Deferred Comp &amp; NC 401(k)-Combined Pkg</v>
      </c>
      <c r="B45" s="200" t="s">
        <v>817</v>
      </c>
      <c r="C45" s="200" t="str">
        <f t="shared" si="3"/>
        <v>90</v>
      </c>
      <c r="D45" s="199" t="s">
        <v>433</v>
      </c>
      <c r="E45" s="199" t="s">
        <v>389</v>
      </c>
      <c r="F45" s="199" t="s">
        <v>390</v>
      </c>
      <c r="G45" s="376" t="s">
        <v>1083</v>
      </c>
      <c r="H45" s="199" t="s">
        <v>1036</v>
      </c>
    </row>
    <row r="46" spans="1:11" x14ac:dyDescent="0.3">
      <c r="A46" s="199" t="str">
        <f t="shared" si="7"/>
        <v>87 NC School of Science &amp; Mathematics</v>
      </c>
      <c r="B46" s="200">
        <v>87</v>
      </c>
      <c r="C46" s="200" t="str">
        <f t="shared" si="3"/>
        <v>99</v>
      </c>
      <c r="D46" s="199" t="s">
        <v>435</v>
      </c>
      <c r="E46" s="199" t="s">
        <v>389</v>
      </c>
      <c r="F46" s="199" t="s">
        <v>390</v>
      </c>
      <c r="G46" s="376" t="s">
        <v>820</v>
      </c>
      <c r="H46" s="199" t="s">
        <v>821</v>
      </c>
    </row>
    <row r="47" spans="1:11" x14ac:dyDescent="0.3">
      <c r="A47" s="199" t="str">
        <f t="shared" si="7"/>
        <v>90 General Fund - OSC</v>
      </c>
      <c r="B47" s="200" t="s">
        <v>432</v>
      </c>
      <c r="C47" s="200" t="str">
        <f t="shared" ref="C47:C64" si="8">B49</f>
        <v>RX</v>
      </c>
      <c r="D47" s="199" t="s">
        <v>437</v>
      </c>
      <c r="E47" s="199" t="s">
        <v>389</v>
      </c>
      <c r="F47" s="199" t="s">
        <v>390</v>
      </c>
      <c r="G47" s="376" t="s">
        <v>1210</v>
      </c>
      <c r="H47" s="199" t="s">
        <v>1211</v>
      </c>
    </row>
    <row r="48" spans="1:11" ht="18" x14ac:dyDescent="0.35">
      <c r="A48" s="199" t="str">
        <f t="shared" si="7"/>
        <v>99 General Fund - DOR</v>
      </c>
      <c r="B48" s="200" t="s">
        <v>434</v>
      </c>
      <c r="C48" s="200" t="str">
        <f t="shared" si="8"/>
        <v>U10</v>
      </c>
      <c r="D48" s="199" t="s">
        <v>1170</v>
      </c>
      <c r="E48" s="199" t="s">
        <v>414</v>
      </c>
      <c r="F48" s="199" t="s">
        <v>822</v>
      </c>
      <c r="G48" s="376" t="s">
        <v>1171</v>
      </c>
      <c r="H48" s="199" t="s">
        <v>1172</v>
      </c>
      <c r="I48" s="199" t="s">
        <v>430</v>
      </c>
      <c r="J48" s="809" t="s">
        <v>1562</v>
      </c>
    </row>
    <row r="49" spans="1:10" ht="18" x14ac:dyDescent="0.35">
      <c r="A49" s="199" t="str">
        <f t="shared" si="7"/>
        <v>RX OSC-Central Accounts</v>
      </c>
      <c r="B49" s="200" t="s">
        <v>436</v>
      </c>
      <c r="C49" s="200" t="str">
        <f t="shared" si="8"/>
        <v>U20</v>
      </c>
      <c r="D49" s="199" t="s">
        <v>441</v>
      </c>
      <c r="E49" s="199" t="s">
        <v>414</v>
      </c>
      <c r="F49" s="199" t="s">
        <v>822</v>
      </c>
      <c r="G49" s="376" t="s">
        <v>1119</v>
      </c>
      <c r="H49" s="199" t="s">
        <v>1120</v>
      </c>
      <c r="I49" s="199" t="s">
        <v>430</v>
      </c>
      <c r="J49" s="450"/>
    </row>
    <row r="50" spans="1:10" ht="18" x14ac:dyDescent="0.35">
      <c r="A50" s="199" t="str">
        <f t="shared" si="7"/>
        <v>U10 UNC-System Office</v>
      </c>
      <c r="B50" s="200" t="s">
        <v>438</v>
      </c>
      <c r="C50" s="200" t="str">
        <f t="shared" si="8"/>
        <v>U30</v>
      </c>
      <c r="D50" s="199" t="s">
        <v>443</v>
      </c>
      <c r="E50" s="199" t="s">
        <v>414</v>
      </c>
      <c r="F50" s="199" t="s">
        <v>822</v>
      </c>
      <c r="G50" s="376" t="s">
        <v>1173</v>
      </c>
      <c r="H50" s="199" t="s">
        <v>1174</v>
      </c>
      <c r="I50" s="199" t="s">
        <v>430</v>
      </c>
      <c r="J50" s="450"/>
    </row>
    <row r="51" spans="1:10" ht="18" x14ac:dyDescent="0.35">
      <c r="A51" s="199" t="str">
        <f t="shared" si="7"/>
        <v>U20 UNC at Chapel Hill</v>
      </c>
      <c r="B51" s="200" t="s">
        <v>440</v>
      </c>
      <c r="C51" s="200" t="str">
        <f t="shared" si="8"/>
        <v>U40</v>
      </c>
      <c r="D51" s="199" t="s">
        <v>445</v>
      </c>
      <c r="E51" s="199" t="s">
        <v>414</v>
      </c>
      <c r="F51" s="199" t="s">
        <v>822</v>
      </c>
      <c r="G51" s="376" t="s">
        <v>1457</v>
      </c>
      <c r="H51" s="199" t="s">
        <v>1458</v>
      </c>
      <c r="I51" s="199" t="s">
        <v>430</v>
      </c>
    </row>
    <row r="52" spans="1:10" ht="18" x14ac:dyDescent="0.35">
      <c r="A52" s="199" t="str">
        <f t="shared" si="7"/>
        <v>U30 North Carolina State University</v>
      </c>
      <c r="B52" s="200" t="s">
        <v>442</v>
      </c>
      <c r="C52" s="200" t="str">
        <f t="shared" si="8"/>
        <v>U50</v>
      </c>
      <c r="D52" s="199" t="s">
        <v>447</v>
      </c>
      <c r="E52" s="199" t="s">
        <v>414</v>
      </c>
      <c r="F52" s="199" t="s">
        <v>822</v>
      </c>
      <c r="G52" s="376" t="s">
        <v>1459</v>
      </c>
      <c r="H52" s="199" t="s">
        <v>823</v>
      </c>
      <c r="I52" s="199" t="s">
        <v>430</v>
      </c>
    </row>
    <row r="53" spans="1:10" ht="18" x14ac:dyDescent="0.35">
      <c r="A53" s="199" t="str">
        <f t="shared" si="7"/>
        <v>U40 UNC at Greensboro</v>
      </c>
      <c r="B53" s="200" t="s">
        <v>444</v>
      </c>
      <c r="C53" s="200" t="str">
        <f t="shared" si="8"/>
        <v>U55</v>
      </c>
      <c r="D53" s="199" t="s">
        <v>449</v>
      </c>
      <c r="E53" s="199" t="s">
        <v>414</v>
      </c>
      <c r="F53" s="199" t="s">
        <v>822</v>
      </c>
      <c r="G53" s="376" t="s">
        <v>1002</v>
      </c>
      <c r="H53" s="199" t="s">
        <v>824</v>
      </c>
      <c r="I53" s="199" t="s">
        <v>430</v>
      </c>
    </row>
    <row r="54" spans="1:10" ht="18" x14ac:dyDescent="0.35">
      <c r="A54" s="199" t="str">
        <f t="shared" si="7"/>
        <v>U50 UNC at Charlotte</v>
      </c>
      <c r="B54" s="200" t="s">
        <v>446</v>
      </c>
      <c r="C54" s="200" t="str">
        <f t="shared" si="8"/>
        <v>U60</v>
      </c>
      <c r="D54" s="199" t="s">
        <v>451</v>
      </c>
      <c r="E54" s="199" t="s">
        <v>414</v>
      </c>
      <c r="F54" s="199" t="s">
        <v>822</v>
      </c>
      <c r="G54" s="376" t="s">
        <v>1003</v>
      </c>
      <c r="H54" s="199" t="s">
        <v>1004</v>
      </c>
      <c r="I54" s="199" t="s">
        <v>430</v>
      </c>
      <c r="J54" s="450"/>
    </row>
    <row r="55" spans="1:10" ht="18" x14ac:dyDescent="0.35">
      <c r="A55" s="199" t="str">
        <f t="shared" si="7"/>
        <v>U55 UNC at Asheville</v>
      </c>
      <c r="B55" s="200" t="s">
        <v>448</v>
      </c>
      <c r="C55" s="200" t="str">
        <f t="shared" si="8"/>
        <v>U65</v>
      </c>
      <c r="D55" s="199" t="s">
        <v>453</v>
      </c>
      <c r="E55" s="199" t="s">
        <v>414</v>
      </c>
      <c r="F55" s="199" t="s">
        <v>822</v>
      </c>
      <c r="G55" s="376" t="s">
        <v>1460</v>
      </c>
      <c r="H55" s="199" t="s">
        <v>1461</v>
      </c>
      <c r="I55" s="199" t="s">
        <v>430</v>
      </c>
      <c r="J55" s="450"/>
    </row>
    <row r="56" spans="1:10" ht="18" x14ac:dyDescent="0.35">
      <c r="A56" s="199" t="str">
        <f t="shared" si="7"/>
        <v>U60 UNC at Wilmington</v>
      </c>
      <c r="B56" s="200" t="s">
        <v>450</v>
      </c>
      <c r="C56" s="200" t="str">
        <f t="shared" si="8"/>
        <v>U70</v>
      </c>
      <c r="D56" s="199" t="s">
        <v>825</v>
      </c>
      <c r="E56" s="199" t="s">
        <v>414</v>
      </c>
      <c r="F56" s="199" t="s">
        <v>822</v>
      </c>
      <c r="G56" s="376" t="s">
        <v>965</v>
      </c>
      <c r="H56" s="199" t="s">
        <v>826</v>
      </c>
      <c r="I56" s="199" t="s">
        <v>430</v>
      </c>
      <c r="J56" s="450"/>
    </row>
    <row r="57" spans="1:10" ht="18" x14ac:dyDescent="0.35">
      <c r="A57" s="199" t="str">
        <f t="shared" si="7"/>
        <v>U65 East Carolina University</v>
      </c>
      <c r="B57" s="200" t="s">
        <v>452</v>
      </c>
      <c r="C57" s="200" t="str">
        <f t="shared" si="8"/>
        <v>U75</v>
      </c>
      <c r="D57" s="199" t="s">
        <v>456</v>
      </c>
      <c r="E57" s="199" t="s">
        <v>414</v>
      </c>
      <c r="F57" s="199" t="s">
        <v>822</v>
      </c>
      <c r="G57" s="376" t="s">
        <v>1462</v>
      </c>
      <c r="H57" s="199" t="s">
        <v>1463</v>
      </c>
      <c r="I57" s="199" t="s">
        <v>430</v>
      </c>
    </row>
    <row r="58" spans="1:10" ht="18" x14ac:dyDescent="0.35">
      <c r="A58" s="199" t="str">
        <f t="shared" si="7"/>
        <v>U70 North Carolina A&amp;T University</v>
      </c>
      <c r="B58" s="200" t="s">
        <v>454</v>
      </c>
      <c r="C58" s="200" t="str">
        <f t="shared" si="8"/>
        <v>U80</v>
      </c>
      <c r="D58" s="199" t="s">
        <v>458</v>
      </c>
      <c r="E58" s="199" t="s">
        <v>414</v>
      </c>
      <c r="F58" s="199" t="s">
        <v>822</v>
      </c>
      <c r="G58" s="376" t="s">
        <v>827</v>
      </c>
      <c r="H58" s="199" t="s">
        <v>828</v>
      </c>
      <c r="I58" s="199" t="s">
        <v>430</v>
      </c>
    </row>
    <row r="59" spans="1:10" ht="18" x14ac:dyDescent="0.35">
      <c r="A59" s="199" t="str">
        <f t="shared" si="7"/>
        <v>U75 Western Carolina University</v>
      </c>
      <c r="B59" s="200" t="s">
        <v>455</v>
      </c>
      <c r="C59" s="200" t="str">
        <f t="shared" si="8"/>
        <v>U82</v>
      </c>
      <c r="D59" s="199" t="s">
        <v>460</v>
      </c>
      <c r="E59" s="199" t="s">
        <v>414</v>
      </c>
      <c r="F59" s="199" t="s">
        <v>822</v>
      </c>
      <c r="G59" s="376" t="s">
        <v>1464</v>
      </c>
      <c r="H59" s="199" t="s">
        <v>1465</v>
      </c>
      <c r="I59" s="199" t="s">
        <v>430</v>
      </c>
    </row>
    <row r="60" spans="1:10" ht="18" x14ac:dyDescent="0.35">
      <c r="A60" s="199" t="str">
        <f t="shared" si="7"/>
        <v>U80 Appalachian State University</v>
      </c>
      <c r="B60" s="200" t="s">
        <v>457</v>
      </c>
      <c r="C60" s="200" t="str">
        <f t="shared" si="8"/>
        <v>U84</v>
      </c>
      <c r="D60" s="199" t="s">
        <v>462</v>
      </c>
      <c r="E60" s="199" t="s">
        <v>414</v>
      </c>
      <c r="F60" s="199" t="s">
        <v>822</v>
      </c>
      <c r="G60" s="376" t="s">
        <v>1466</v>
      </c>
      <c r="H60" s="199" t="s">
        <v>1467</v>
      </c>
      <c r="I60" s="199" t="s">
        <v>430</v>
      </c>
    </row>
    <row r="61" spans="1:10" ht="18" x14ac:dyDescent="0.35">
      <c r="A61" s="199" t="str">
        <f t="shared" si="7"/>
        <v>U82 UNC at Pembroke</v>
      </c>
      <c r="B61" s="200" t="s">
        <v>459</v>
      </c>
      <c r="C61" s="200" t="str">
        <f t="shared" si="8"/>
        <v>U86</v>
      </c>
      <c r="D61" s="199" t="s">
        <v>464</v>
      </c>
      <c r="E61" s="199" t="s">
        <v>414</v>
      </c>
      <c r="F61" s="199" t="s">
        <v>822</v>
      </c>
      <c r="G61" s="376" t="s">
        <v>829</v>
      </c>
      <c r="H61" s="199" t="s">
        <v>830</v>
      </c>
      <c r="I61" s="199" t="s">
        <v>430</v>
      </c>
    </row>
    <row r="62" spans="1:10" ht="18" x14ac:dyDescent="0.35">
      <c r="A62" s="199" t="str">
        <f t="shared" si="7"/>
        <v>U84 Winston-Salem State University</v>
      </c>
      <c r="B62" s="200" t="s">
        <v>461</v>
      </c>
      <c r="C62" s="200" t="str">
        <f t="shared" si="8"/>
        <v>U88</v>
      </c>
      <c r="D62" s="199" t="s">
        <v>466</v>
      </c>
      <c r="E62" s="199" t="s">
        <v>414</v>
      </c>
      <c r="F62" s="199" t="s">
        <v>822</v>
      </c>
      <c r="G62" s="376" t="s">
        <v>966</v>
      </c>
      <c r="H62" s="199" t="s">
        <v>967</v>
      </c>
      <c r="I62" s="199" t="s">
        <v>430</v>
      </c>
    </row>
    <row r="63" spans="1:10" ht="18" x14ac:dyDescent="0.35">
      <c r="A63" s="199" t="str">
        <f t="shared" si="7"/>
        <v>U86 Elizabeth City State University</v>
      </c>
      <c r="B63" s="200" t="s">
        <v>463</v>
      </c>
      <c r="C63" s="200" t="str">
        <f t="shared" si="8"/>
        <v>U90</v>
      </c>
      <c r="D63" s="199" t="s">
        <v>468</v>
      </c>
      <c r="E63" s="199" t="s">
        <v>414</v>
      </c>
      <c r="F63" s="199" t="s">
        <v>822</v>
      </c>
      <c r="G63" s="376" t="s">
        <v>1342</v>
      </c>
      <c r="H63" s="199" t="s">
        <v>1343</v>
      </c>
      <c r="I63" s="199" t="s">
        <v>430</v>
      </c>
    </row>
    <row r="64" spans="1:10" ht="18" x14ac:dyDescent="0.35">
      <c r="A64" s="199" t="str">
        <f t="shared" si="7"/>
        <v>U88 Fayetteville State University</v>
      </c>
      <c r="B64" s="200" t="s">
        <v>465</v>
      </c>
      <c r="C64" s="200" t="str">
        <f t="shared" si="8"/>
        <v>U92</v>
      </c>
      <c r="D64" s="199" t="s">
        <v>470</v>
      </c>
      <c r="E64" s="199" t="s">
        <v>414</v>
      </c>
      <c r="F64" s="199" t="s">
        <v>822</v>
      </c>
      <c r="G64" s="376" t="s">
        <v>1450</v>
      </c>
      <c r="H64" s="199" t="s">
        <v>1451</v>
      </c>
      <c r="I64" s="199" t="s">
        <v>430</v>
      </c>
    </row>
    <row r="65" spans="1:10" x14ac:dyDescent="0.3">
      <c r="A65" s="199" t="str">
        <f t="shared" si="7"/>
        <v>U90 North Carolina Central University</v>
      </c>
      <c r="B65" s="200" t="s">
        <v>467</v>
      </c>
      <c r="C65" s="200" t="str">
        <f>TEXT(B67,"00")</f>
        <v>0A</v>
      </c>
      <c r="D65" s="199" t="s">
        <v>831</v>
      </c>
      <c r="E65" s="199" t="s">
        <v>400</v>
      </c>
      <c r="F65" s="199" t="s">
        <v>387</v>
      </c>
      <c r="G65" s="376" t="s">
        <v>1344</v>
      </c>
      <c r="H65" s="199" t="s">
        <v>1345</v>
      </c>
      <c r="I65" s="376">
        <v>2611</v>
      </c>
      <c r="J65" s="450" t="s">
        <v>1563</v>
      </c>
    </row>
    <row r="66" spans="1:10" x14ac:dyDescent="0.3">
      <c r="A66" s="199" t="str">
        <f t="shared" si="7"/>
        <v>U92 UNC School of the Arts</v>
      </c>
      <c r="B66" s="200" t="s">
        <v>469</v>
      </c>
      <c r="C66" s="200" t="str">
        <f t="shared" ref="C66:C76" si="9">B68</f>
        <v>Z2</v>
      </c>
      <c r="D66" s="199" t="s">
        <v>595</v>
      </c>
      <c r="E66" s="199" t="s">
        <v>400</v>
      </c>
      <c r="F66" s="199" t="s">
        <v>387</v>
      </c>
      <c r="G66" s="376" t="s">
        <v>1121</v>
      </c>
      <c r="H66" s="199" t="s">
        <v>1122</v>
      </c>
      <c r="I66" s="376">
        <v>2618</v>
      </c>
    </row>
    <row r="67" spans="1:10" x14ac:dyDescent="0.3">
      <c r="A67" s="199" t="str">
        <f t="shared" si="7"/>
        <v>0A North Carolina Housing Finance Ag.</v>
      </c>
      <c r="B67" s="200" t="s">
        <v>431</v>
      </c>
      <c r="C67" s="200" t="str">
        <f t="shared" si="9"/>
        <v>Z3</v>
      </c>
      <c r="D67" s="199" t="s">
        <v>220</v>
      </c>
      <c r="E67" s="199" t="s">
        <v>400</v>
      </c>
      <c r="F67" s="199" t="s">
        <v>75</v>
      </c>
      <c r="G67" s="376" t="s">
        <v>968</v>
      </c>
      <c r="H67" s="199" t="s">
        <v>969</v>
      </c>
      <c r="I67" s="376">
        <v>2615</v>
      </c>
      <c r="J67" s="448"/>
    </row>
    <row r="68" spans="1:10" x14ac:dyDescent="0.3">
      <c r="A68" s="199" t="str">
        <f t="shared" si="7"/>
        <v>Z2 NC Biotechnology Center</v>
      </c>
      <c r="B68" s="200" t="s">
        <v>594</v>
      </c>
      <c r="C68" s="200" t="str">
        <f t="shared" si="9"/>
        <v>Z3F</v>
      </c>
      <c r="D68" s="199" t="s">
        <v>655</v>
      </c>
      <c r="E68" s="199" t="s">
        <v>400</v>
      </c>
      <c r="F68" s="199" t="s">
        <v>387</v>
      </c>
      <c r="G68" s="376" t="s">
        <v>832</v>
      </c>
      <c r="H68" s="199" t="s">
        <v>970</v>
      </c>
      <c r="I68" s="376">
        <v>2615</v>
      </c>
      <c r="J68" s="448" t="s">
        <v>833</v>
      </c>
    </row>
    <row r="69" spans="1:10" x14ac:dyDescent="0.3">
      <c r="A69" s="199" t="str">
        <f t="shared" ref="A69:A132" si="10">C67&amp;" "&amp;D67</f>
        <v>Z3 NC Global TransPark Authority</v>
      </c>
      <c r="B69" s="200" t="s">
        <v>219</v>
      </c>
      <c r="C69" s="200" t="str">
        <f t="shared" si="9"/>
        <v>Z7</v>
      </c>
      <c r="D69" s="199" t="s">
        <v>222</v>
      </c>
      <c r="E69" s="199" t="s">
        <v>400</v>
      </c>
      <c r="F69" s="199" t="s">
        <v>387</v>
      </c>
      <c r="G69" s="376" t="s">
        <v>1468</v>
      </c>
      <c r="H69" s="199" t="s">
        <v>1007</v>
      </c>
      <c r="I69" s="376">
        <v>2621</v>
      </c>
    </row>
    <row r="70" spans="1:10" x14ac:dyDescent="0.3">
      <c r="A70" s="199" t="str">
        <f>C68&amp;" "&amp;D68</f>
        <v>Z3F NC Global TransPark Authority Foundation</v>
      </c>
      <c r="B70" s="200" t="s">
        <v>592</v>
      </c>
      <c r="C70" s="200" t="str">
        <f t="shared" si="9"/>
        <v>ZA</v>
      </c>
      <c r="D70" s="199" t="s">
        <v>224</v>
      </c>
      <c r="E70" s="199" t="s">
        <v>400</v>
      </c>
      <c r="F70" s="199" t="s">
        <v>75</v>
      </c>
      <c r="G70" s="376" t="s">
        <v>834</v>
      </c>
      <c r="H70" s="199" t="s">
        <v>835</v>
      </c>
      <c r="I70" s="376">
        <v>2612</v>
      </c>
    </row>
    <row r="71" spans="1:10" x14ac:dyDescent="0.3">
      <c r="A71" s="199" t="str">
        <f t="shared" si="10"/>
        <v>Z7 NC Partnership for Children</v>
      </c>
      <c r="B71" s="200" t="s">
        <v>221</v>
      </c>
      <c r="C71" s="200" t="str">
        <f t="shared" si="9"/>
        <v>ZB</v>
      </c>
      <c r="D71" s="199" t="s">
        <v>472</v>
      </c>
      <c r="E71" s="199" t="s">
        <v>400</v>
      </c>
      <c r="F71" s="199" t="s">
        <v>387</v>
      </c>
      <c r="G71" s="376" t="s">
        <v>836</v>
      </c>
      <c r="H71" s="199" t="s">
        <v>971</v>
      </c>
      <c r="I71" s="376">
        <v>2620</v>
      </c>
      <c r="J71" s="448" t="s">
        <v>837</v>
      </c>
    </row>
    <row r="72" spans="1:10" x14ac:dyDescent="0.3">
      <c r="A72" s="199" t="str">
        <f t="shared" si="10"/>
        <v>ZA NC State Ports Authority</v>
      </c>
      <c r="B72" s="200" t="s">
        <v>223</v>
      </c>
      <c r="C72" s="200" t="str">
        <f t="shared" si="9"/>
        <v>ZG</v>
      </c>
      <c r="D72" s="199" t="s">
        <v>724</v>
      </c>
      <c r="E72" s="199" t="s">
        <v>400</v>
      </c>
      <c r="F72" s="199" t="s">
        <v>387</v>
      </c>
      <c r="G72" s="376" t="s">
        <v>838</v>
      </c>
      <c r="H72" s="199" t="s">
        <v>972</v>
      </c>
      <c r="I72" s="376">
        <v>2626</v>
      </c>
      <c r="J72" s="448" t="s">
        <v>1564</v>
      </c>
    </row>
    <row r="73" spans="1:10" x14ac:dyDescent="0.3">
      <c r="A73" s="199" t="str">
        <f t="shared" si="10"/>
        <v>ZB State Education Assistance Authority</v>
      </c>
      <c r="B73" s="200" t="s">
        <v>471</v>
      </c>
      <c r="C73" s="200" t="str">
        <f t="shared" si="9"/>
        <v>ZH</v>
      </c>
      <c r="D73" s="199" t="s">
        <v>225</v>
      </c>
      <c r="E73" s="199" t="s">
        <v>400</v>
      </c>
      <c r="F73" s="199" t="s">
        <v>387</v>
      </c>
      <c r="G73" s="376" t="s">
        <v>1469</v>
      </c>
      <c r="H73" s="199" t="s">
        <v>973</v>
      </c>
      <c r="I73" s="376">
        <v>2627</v>
      </c>
    </row>
    <row r="74" spans="1:10" x14ac:dyDescent="0.3">
      <c r="A74" s="199" t="str">
        <f>C72&amp;" "&amp;D72</f>
        <v>ZG Centennial Authority</v>
      </c>
      <c r="B74" s="200" t="s">
        <v>732</v>
      </c>
      <c r="C74" s="200" t="str">
        <f t="shared" si="9"/>
        <v>ZI</v>
      </c>
      <c r="D74" s="199" t="s">
        <v>473</v>
      </c>
      <c r="E74" s="199" t="s">
        <v>400</v>
      </c>
      <c r="F74" s="199" t="s">
        <v>387</v>
      </c>
      <c r="G74" s="376" t="s">
        <v>1470</v>
      </c>
      <c r="H74" s="199" t="s">
        <v>839</v>
      </c>
      <c r="I74" s="376">
        <v>2640</v>
      </c>
      <c r="J74" s="448" t="s">
        <v>837</v>
      </c>
    </row>
    <row r="75" spans="1:10" x14ac:dyDescent="0.3">
      <c r="A75" s="199" t="str">
        <f t="shared" si="10"/>
        <v>ZH NC Railroad Company</v>
      </c>
      <c r="B75" s="200" t="s">
        <v>323</v>
      </c>
      <c r="C75" s="200" t="str">
        <f t="shared" si="9"/>
        <v>ZL</v>
      </c>
      <c r="D75" s="199" t="s">
        <v>1207</v>
      </c>
      <c r="E75" s="199" t="s">
        <v>414</v>
      </c>
      <c r="F75" s="199" t="s">
        <v>387</v>
      </c>
      <c r="G75" s="376" t="s">
        <v>1175</v>
      </c>
      <c r="H75" s="199" t="s">
        <v>1176</v>
      </c>
      <c r="I75" s="376" t="s">
        <v>430</v>
      </c>
      <c r="J75" s="448" t="s">
        <v>1208</v>
      </c>
    </row>
    <row r="76" spans="1:10" x14ac:dyDescent="0.3">
      <c r="A76" s="199" t="str">
        <f t="shared" si="10"/>
        <v>ZI The Golden LEAF, Inc.</v>
      </c>
      <c r="B76" s="200" t="s">
        <v>87</v>
      </c>
      <c r="C76" s="200" t="str">
        <f t="shared" si="9"/>
        <v>ZM</v>
      </c>
      <c r="D76" s="199" t="s">
        <v>936</v>
      </c>
      <c r="E76" s="199" t="s">
        <v>400</v>
      </c>
      <c r="F76" s="199" t="s">
        <v>387</v>
      </c>
      <c r="G76" s="376" t="s">
        <v>1452</v>
      </c>
      <c r="H76" s="199" t="s">
        <v>1453</v>
      </c>
      <c r="I76" s="376">
        <v>2644</v>
      </c>
      <c r="J76" s="448" t="s">
        <v>974</v>
      </c>
    </row>
    <row r="77" spans="1:10" x14ac:dyDescent="0.3">
      <c r="A77" s="199" t="str">
        <f>C75&amp;" "&amp;D75</f>
        <v>ZL Gateway Research Park, Inc.</v>
      </c>
      <c r="B77" s="200" t="s">
        <v>657</v>
      </c>
      <c r="C77" s="200" t="s">
        <v>474</v>
      </c>
      <c r="D77" s="199" t="s">
        <v>475</v>
      </c>
      <c r="E77" s="199" t="s">
        <v>476</v>
      </c>
      <c r="F77" s="199" t="s">
        <v>387</v>
      </c>
      <c r="G77" s="376" t="s">
        <v>1471</v>
      </c>
      <c r="H77" s="199" t="s">
        <v>975</v>
      </c>
      <c r="I77" s="199" t="s">
        <v>430</v>
      </c>
    </row>
    <row r="78" spans="1:10" x14ac:dyDescent="0.3">
      <c r="A78" s="199" t="str">
        <f t="shared" si="10"/>
        <v>ZM Economic Development Partnership of NC</v>
      </c>
      <c r="B78" s="200" t="s">
        <v>935</v>
      </c>
      <c r="C78" s="200" t="s">
        <v>477</v>
      </c>
      <c r="D78" s="199" t="s">
        <v>478</v>
      </c>
      <c r="E78" s="199" t="s">
        <v>476</v>
      </c>
      <c r="F78" s="199" t="s">
        <v>387</v>
      </c>
      <c r="G78" s="376" t="s">
        <v>1472</v>
      </c>
      <c r="H78" s="199" t="s">
        <v>1473</v>
      </c>
      <c r="I78" s="199" t="s">
        <v>430</v>
      </c>
    </row>
    <row r="79" spans="1:10" x14ac:dyDescent="0.3">
      <c r="A79" s="199" t="str">
        <f t="shared" si="10"/>
        <v>C0 Alamance Community College</v>
      </c>
      <c r="B79" s="200" t="s">
        <v>474</v>
      </c>
      <c r="C79" s="200" t="s">
        <v>479</v>
      </c>
      <c r="D79" s="199" t="s">
        <v>480</v>
      </c>
      <c r="E79" s="199" t="s">
        <v>476</v>
      </c>
      <c r="F79" s="199" t="s">
        <v>387</v>
      </c>
      <c r="G79" s="376" t="s">
        <v>1474</v>
      </c>
      <c r="H79" s="199" t="s">
        <v>1475</v>
      </c>
      <c r="I79" s="199" t="s">
        <v>430</v>
      </c>
    </row>
    <row r="80" spans="1:10" x14ac:dyDescent="0.3">
      <c r="A80" s="199" t="str">
        <f t="shared" si="10"/>
        <v>C2 Asheville-Buncombe Technical Community College</v>
      </c>
      <c r="B80" s="200" t="s">
        <v>477</v>
      </c>
      <c r="C80" s="200" t="s">
        <v>481</v>
      </c>
      <c r="D80" s="199" t="s">
        <v>482</v>
      </c>
      <c r="E80" s="199" t="s">
        <v>476</v>
      </c>
      <c r="F80" s="199" t="s">
        <v>387</v>
      </c>
      <c r="G80" s="376" t="s">
        <v>1476</v>
      </c>
      <c r="H80" s="199" t="s">
        <v>1477</v>
      </c>
      <c r="I80" s="199" t="s">
        <v>430</v>
      </c>
    </row>
    <row r="81" spans="1:9" x14ac:dyDescent="0.3">
      <c r="A81" s="199" t="str">
        <f t="shared" si="10"/>
        <v>C3 Beaufort County Community College</v>
      </c>
      <c r="B81" s="200" t="s">
        <v>479</v>
      </c>
      <c r="C81" s="200" t="s">
        <v>483</v>
      </c>
      <c r="D81" s="199" t="s">
        <v>484</v>
      </c>
      <c r="E81" s="199" t="s">
        <v>476</v>
      </c>
      <c r="F81" s="199" t="s">
        <v>387</v>
      </c>
      <c r="G81" s="376" t="s">
        <v>1478</v>
      </c>
      <c r="H81" s="199" t="s">
        <v>1479</v>
      </c>
      <c r="I81" s="199" t="s">
        <v>430</v>
      </c>
    </row>
    <row r="82" spans="1:9" x14ac:dyDescent="0.3">
      <c r="A82" s="199" t="str">
        <f t="shared" si="10"/>
        <v>C4 Bladen Community College</v>
      </c>
      <c r="B82" s="200" t="s">
        <v>481</v>
      </c>
      <c r="C82" s="200" t="s">
        <v>485</v>
      </c>
      <c r="D82" s="199" t="s">
        <v>486</v>
      </c>
      <c r="E82" s="199" t="s">
        <v>476</v>
      </c>
      <c r="F82" s="199" t="s">
        <v>387</v>
      </c>
      <c r="G82" s="376" t="s">
        <v>1480</v>
      </c>
      <c r="H82" s="199" t="s">
        <v>1481</v>
      </c>
      <c r="I82" s="199" t="s">
        <v>430</v>
      </c>
    </row>
    <row r="83" spans="1:9" x14ac:dyDescent="0.3">
      <c r="A83" s="199" t="str">
        <f t="shared" si="10"/>
        <v>C5 Blue Ridge Community College</v>
      </c>
      <c r="B83" s="200" t="s">
        <v>483</v>
      </c>
      <c r="C83" s="200" t="s">
        <v>487</v>
      </c>
      <c r="D83" s="199" t="s">
        <v>488</v>
      </c>
      <c r="E83" s="199" t="s">
        <v>476</v>
      </c>
      <c r="F83" s="199" t="s">
        <v>387</v>
      </c>
      <c r="G83" s="376" t="s">
        <v>841</v>
      </c>
      <c r="H83" s="199" t="s">
        <v>1087</v>
      </c>
      <c r="I83" s="199" t="s">
        <v>430</v>
      </c>
    </row>
    <row r="84" spans="1:9" x14ac:dyDescent="0.3">
      <c r="A84" s="199" t="str">
        <f t="shared" si="10"/>
        <v>C6 Brunswick Community College</v>
      </c>
      <c r="B84" s="200" t="s">
        <v>485</v>
      </c>
      <c r="C84" s="200" t="s">
        <v>489</v>
      </c>
      <c r="D84" s="199" t="s">
        <v>490</v>
      </c>
      <c r="E84" s="199" t="s">
        <v>476</v>
      </c>
      <c r="F84" s="199" t="s">
        <v>387</v>
      </c>
      <c r="G84" s="376" t="s">
        <v>1482</v>
      </c>
      <c r="H84" s="199" t="s">
        <v>976</v>
      </c>
      <c r="I84" s="199" t="s">
        <v>430</v>
      </c>
    </row>
    <row r="85" spans="1:9" x14ac:dyDescent="0.3">
      <c r="A85" s="199" t="str">
        <f t="shared" si="10"/>
        <v>C7 Caldwell Community College and Technical Institute</v>
      </c>
      <c r="B85" s="200" t="s">
        <v>487</v>
      </c>
      <c r="C85" s="200" t="s">
        <v>491</v>
      </c>
      <c r="D85" s="199" t="s">
        <v>492</v>
      </c>
      <c r="E85" s="199" t="s">
        <v>476</v>
      </c>
      <c r="F85" s="199" t="s">
        <v>387</v>
      </c>
      <c r="G85" s="376" t="s">
        <v>1483</v>
      </c>
      <c r="H85" s="199" t="s">
        <v>1484</v>
      </c>
      <c r="I85" s="199" t="s">
        <v>430</v>
      </c>
    </row>
    <row r="86" spans="1:9" x14ac:dyDescent="0.3">
      <c r="A86" s="199" t="str">
        <f t="shared" si="10"/>
        <v>C8 Cape Fear Community College</v>
      </c>
      <c r="B86" s="200" t="s">
        <v>489</v>
      </c>
      <c r="C86" s="200" t="s">
        <v>842</v>
      </c>
      <c r="D86" s="199" t="s">
        <v>843</v>
      </c>
      <c r="E86" s="199" t="s">
        <v>476</v>
      </c>
      <c r="F86" s="199" t="s">
        <v>387</v>
      </c>
      <c r="G86" s="376" t="s">
        <v>1485</v>
      </c>
      <c r="H86" s="199" t="s">
        <v>1486</v>
      </c>
      <c r="I86" s="199" t="s">
        <v>430</v>
      </c>
    </row>
    <row r="87" spans="1:9" x14ac:dyDescent="0.3">
      <c r="A87" s="199" t="str">
        <f t="shared" si="10"/>
        <v>C9 Carteret Community College</v>
      </c>
      <c r="B87" s="200" t="s">
        <v>491</v>
      </c>
      <c r="C87" s="200" t="s">
        <v>844</v>
      </c>
      <c r="D87" s="199" t="s">
        <v>845</v>
      </c>
      <c r="E87" s="199" t="s">
        <v>476</v>
      </c>
      <c r="F87" s="199" t="s">
        <v>387</v>
      </c>
      <c r="G87" s="376" t="s">
        <v>1487</v>
      </c>
      <c r="H87" s="199" t="s">
        <v>977</v>
      </c>
      <c r="I87" s="199" t="s">
        <v>430</v>
      </c>
    </row>
    <row r="88" spans="1:9" x14ac:dyDescent="0.3">
      <c r="A88" s="199" t="str">
        <f t="shared" si="10"/>
        <v>CA Catawba Valley Community College</v>
      </c>
      <c r="B88" s="200" t="s">
        <v>842</v>
      </c>
      <c r="C88" s="200" t="s">
        <v>493</v>
      </c>
      <c r="D88" s="199" t="s">
        <v>846</v>
      </c>
      <c r="E88" s="199" t="s">
        <v>476</v>
      </c>
      <c r="F88" s="199" t="s">
        <v>387</v>
      </c>
      <c r="G88" s="376" t="s">
        <v>1488</v>
      </c>
      <c r="H88" s="199" t="s">
        <v>1489</v>
      </c>
      <c r="I88" s="199" t="s">
        <v>430</v>
      </c>
    </row>
    <row r="89" spans="1:9" x14ac:dyDescent="0.3">
      <c r="A89" s="199" t="str">
        <f t="shared" si="10"/>
        <v>CB Central Carolina Community College</v>
      </c>
      <c r="B89" s="200" t="s">
        <v>844</v>
      </c>
      <c r="C89" s="200" t="s">
        <v>494</v>
      </c>
      <c r="D89" s="199" t="s">
        <v>495</v>
      </c>
      <c r="E89" s="199" t="s">
        <v>476</v>
      </c>
      <c r="F89" s="199" t="s">
        <v>387</v>
      </c>
      <c r="G89" s="376" t="s">
        <v>1490</v>
      </c>
      <c r="H89" s="199" t="s">
        <v>1491</v>
      </c>
      <c r="I89" s="199" t="s">
        <v>430</v>
      </c>
    </row>
    <row r="90" spans="1:9" x14ac:dyDescent="0.3">
      <c r="A90" s="199" t="str">
        <f t="shared" si="10"/>
        <v>CC Central Piedmont Community College</v>
      </c>
      <c r="B90" s="200" t="s">
        <v>493</v>
      </c>
      <c r="C90" s="200" t="s">
        <v>496</v>
      </c>
      <c r="D90" s="199" t="s">
        <v>497</v>
      </c>
      <c r="E90" s="199" t="s">
        <v>476</v>
      </c>
      <c r="F90" s="199" t="s">
        <v>387</v>
      </c>
      <c r="G90" s="376" t="s">
        <v>847</v>
      </c>
      <c r="H90" s="199" t="s">
        <v>978</v>
      </c>
      <c r="I90" s="199" t="s">
        <v>430</v>
      </c>
    </row>
    <row r="91" spans="1:9" x14ac:dyDescent="0.3">
      <c r="A91" s="199" t="str">
        <f t="shared" si="10"/>
        <v>CD Cleveland Community College</v>
      </c>
      <c r="B91" s="200" t="s">
        <v>494</v>
      </c>
      <c r="C91" s="200" t="s">
        <v>498</v>
      </c>
      <c r="D91" s="199" t="s">
        <v>499</v>
      </c>
      <c r="E91" s="199" t="s">
        <v>476</v>
      </c>
      <c r="F91" s="199" t="s">
        <v>387</v>
      </c>
      <c r="G91" s="376" t="s">
        <v>1492</v>
      </c>
      <c r="H91" s="199" t="s">
        <v>1493</v>
      </c>
      <c r="I91" s="199" t="s">
        <v>430</v>
      </c>
    </row>
    <row r="92" spans="1:9" x14ac:dyDescent="0.3">
      <c r="A92" s="199" t="str">
        <f t="shared" si="10"/>
        <v>CE Coastal Carolina Community College</v>
      </c>
      <c r="B92" s="200" t="s">
        <v>496</v>
      </c>
      <c r="C92" s="200" t="s">
        <v>500</v>
      </c>
      <c r="D92" s="199" t="s">
        <v>501</v>
      </c>
      <c r="E92" s="199" t="s">
        <v>476</v>
      </c>
      <c r="F92" s="199" t="s">
        <v>387</v>
      </c>
      <c r="G92" s="376" t="s">
        <v>1494</v>
      </c>
      <c r="H92" s="199" t="s">
        <v>1495</v>
      </c>
      <c r="I92" s="199" t="s">
        <v>430</v>
      </c>
    </row>
    <row r="93" spans="1:9" x14ac:dyDescent="0.3">
      <c r="A93" s="199" t="str">
        <f t="shared" si="10"/>
        <v>CF College of the Albemarle</v>
      </c>
      <c r="B93" s="200" t="s">
        <v>498</v>
      </c>
      <c r="C93" s="200" t="s">
        <v>502</v>
      </c>
      <c r="D93" s="199" t="s">
        <v>1438</v>
      </c>
      <c r="E93" s="199" t="s">
        <v>476</v>
      </c>
      <c r="F93" s="199" t="s">
        <v>387</v>
      </c>
      <c r="G93" s="376" t="s">
        <v>1496</v>
      </c>
      <c r="H93" s="199" t="s">
        <v>1497</v>
      </c>
      <c r="I93" s="199" t="s">
        <v>430</v>
      </c>
    </row>
    <row r="94" spans="1:9" x14ac:dyDescent="0.3">
      <c r="A94" s="199" t="str">
        <f t="shared" si="10"/>
        <v>CG Craven Community College</v>
      </c>
      <c r="B94" s="200" t="s">
        <v>500</v>
      </c>
      <c r="C94" s="200" t="s">
        <v>504</v>
      </c>
      <c r="D94" s="199" t="s">
        <v>505</v>
      </c>
      <c r="E94" s="199" t="s">
        <v>476</v>
      </c>
      <c r="F94" s="199" t="s">
        <v>387</v>
      </c>
      <c r="G94" s="376" t="s">
        <v>1498</v>
      </c>
      <c r="H94" s="199" t="s">
        <v>1499</v>
      </c>
      <c r="I94" s="199" t="s">
        <v>430</v>
      </c>
    </row>
    <row r="95" spans="1:9" x14ac:dyDescent="0.3">
      <c r="A95" s="199" t="str">
        <f t="shared" si="10"/>
        <v>CH Davidson-Davie Community College</v>
      </c>
      <c r="B95" s="200" t="s">
        <v>502</v>
      </c>
      <c r="C95" s="200" t="s">
        <v>848</v>
      </c>
      <c r="D95" s="199" t="s">
        <v>849</v>
      </c>
      <c r="E95" s="199" t="s">
        <v>476</v>
      </c>
      <c r="F95" s="199" t="s">
        <v>387</v>
      </c>
      <c r="G95" s="376" t="s">
        <v>1500</v>
      </c>
      <c r="H95" s="199" t="s">
        <v>1501</v>
      </c>
      <c r="I95" s="199" t="s">
        <v>430</v>
      </c>
    </row>
    <row r="96" spans="1:9" x14ac:dyDescent="0.3">
      <c r="A96" s="199" t="str">
        <f t="shared" si="10"/>
        <v>CJ Durham Technical Community College</v>
      </c>
      <c r="B96" s="200" t="s">
        <v>504</v>
      </c>
      <c r="C96" s="200" t="s">
        <v>850</v>
      </c>
      <c r="D96" s="199" t="s">
        <v>851</v>
      </c>
      <c r="E96" s="199" t="s">
        <v>476</v>
      </c>
      <c r="F96" s="199" t="s">
        <v>387</v>
      </c>
      <c r="G96" s="376" t="s">
        <v>852</v>
      </c>
      <c r="H96" s="199" t="s">
        <v>1502</v>
      </c>
      <c r="I96" s="199" t="s">
        <v>430</v>
      </c>
    </row>
    <row r="97" spans="1:9" x14ac:dyDescent="0.3">
      <c r="A97" s="199" t="str">
        <f t="shared" si="10"/>
        <v>CK Edgecombe Community College</v>
      </c>
      <c r="B97" s="200" t="s">
        <v>848</v>
      </c>
      <c r="C97" s="200" t="s">
        <v>853</v>
      </c>
      <c r="D97" s="199" t="s">
        <v>854</v>
      </c>
      <c r="E97" s="199" t="s">
        <v>476</v>
      </c>
      <c r="F97" s="199" t="s">
        <v>387</v>
      </c>
      <c r="G97" s="376" t="s">
        <v>1503</v>
      </c>
      <c r="H97" s="199" t="s">
        <v>1504</v>
      </c>
      <c r="I97" s="199" t="s">
        <v>430</v>
      </c>
    </row>
    <row r="98" spans="1:9" x14ac:dyDescent="0.3">
      <c r="A98" s="199" t="str">
        <f t="shared" si="10"/>
        <v>CL Fayetteville Technical Community College</v>
      </c>
      <c r="B98" s="200" t="s">
        <v>850</v>
      </c>
      <c r="C98" s="200" t="s">
        <v>506</v>
      </c>
      <c r="D98" s="199" t="s">
        <v>507</v>
      </c>
      <c r="E98" s="199" t="s">
        <v>476</v>
      </c>
      <c r="F98" s="199" t="s">
        <v>387</v>
      </c>
      <c r="G98" s="376" t="s">
        <v>1505</v>
      </c>
      <c r="H98" s="199" t="s">
        <v>1506</v>
      </c>
      <c r="I98" s="199" t="s">
        <v>430</v>
      </c>
    </row>
    <row r="99" spans="1:9" x14ac:dyDescent="0.3">
      <c r="A99" s="199" t="str">
        <f t="shared" si="10"/>
        <v>CM Forsyth Technical Community College</v>
      </c>
      <c r="B99" s="200" t="s">
        <v>853</v>
      </c>
      <c r="C99" s="200" t="s">
        <v>508</v>
      </c>
      <c r="D99" s="199" t="s">
        <v>509</v>
      </c>
      <c r="E99" s="199" t="s">
        <v>476</v>
      </c>
      <c r="F99" s="199" t="s">
        <v>387</v>
      </c>
      <c r="G99" s="376" t="s">
        <v>1507</v>
      </c>
      <c r="H99" s="199" t="s">
        <v>1508</v>
      </c>
      <c r="I99" s="199" t="s">
        <v>430</v>
      </c>
    </row>
    <row r="100" spans="1:9" x14ac:dyDescent="0.3">
      <c r="A100" s="199" t="str">
        <f t="shared" si="10"/>
        <v>CN Gaston College</v>
      </c>
      <c r="B100" s="200" t="s">
        <v>506</v>
      </c>
      <c r="C100" s="200" t="s">
        <v>510</v>
      </c>
      <c r="D100" s="199" t="s">
        <v>511</v>
      </c>
      <c r="E100" s="199" t="s">
        <v>476</v>
      </c>
      <c r="F100" s="199" t="s">
        <v>387</v>
      </c>
      <c r="G100" s="376" t="s">
        <v>1509</v>
      </c>
      <c r="H100" s="199" t="s">
        <v>1510</v>
      </c>
      <c r="I100" s="199" t="s">
        <v>430</v>
      </c>
    </row>
    <row r="101" spans="1:9" x14ac:dyDescent="0.3">
      <c r="A101" s="199" t="str">
        <f t="shared" si="10"/>
        <v>CP Guilford Technical Community College</v>
      </c>
      <c r="B101" s="200" t="s">
        <v>508</v>
      </c>
      <c r="C101" s="200" t="s">
        <v>512</v>
      </c>
      <c r="D101" s="199" t="s">
        <v>513</v>
      </c>
      <c r="E101" s="199" t="s">
        <v>476</v>
      </c>
      <c r="F101" s="199" t="s">
        <v>387</v>
      </c>
      <c r="G101" s="376" t="s">
        <v>1088</v>
      </c>
      <c r="H101" s="199" t="s">
        <v>1089</v>
      </c>
      <c r="I101" s="199" t="s">
        <v>430</v>
      </c>
    </row>
    <row r="102" spans="1:9" x14ac:dyDescent="0.3">
      <c r="A102" s="199" t="str">
        <f t="shared" si="10"/>
        <v>CQ Halifax Community College</v>
      </c>
      <c r="B102" s="200" t="s">
        <v>510</v>
      </c>
      <c r="C102" s="200" t="s">
        <v>514</v>
      </c>
      <c r="D102" s="199" t="s">
        <v>515</v>
      </c>
      <c r="E102" s="199" t="s">
        <v>476</v>
      </c>
      <c r="F102" s="199" t="s">
        <v>387</v>
      </c>
      <c r="G102" s="376" t="s">
        <v>855</v>
      </c>
      <c r="H102" s="199" t="s">
        <v>1511</v>
      </c>
      <c r="I102" s="199" t="s">
        <v>430</v>
      </c>
    </row>
    <row r="103" spans="1:9" x14ac:dyDescent="0.3">
      <c r="A103" s="199" t="str">
        <f t="shared" si="10"/>
        <v>CR Haywood Community College</v>
      </c>
      <c r="B103" s="200" t="s">
        <v>512</v>
      </c>
      <c r="C103" s="200" t="s">
        <v>516</v>
      </c>
      <c r="D103" s="199" t="s">
        <v>517</v>
      </c>
      <c r="E103" s="199" t="s">
        <v>476</v>
      </c>
      <c r="F103" s="199" t="s">
        <v>387</v>
      </c>
      <c r="G103" s="376" t="s">
        <v>856</v>
      </c>
      <c r="H103" s="199" t="s">
        <v>1512</v>
      </c>
      <c r="I103" s="199" t="s">
        <v>430</v>
      </c>
    </row>
    <row r="104" spans="1:9" x14ac:dyDescent="0.3">
      <c r="A104" s="199" t="str">
        <f t="shared" si="10"/>
        <v>CS Isothermal Community College</v>
      </c>
      <c r="B104" s="200" t="s">
        <v>514</v>
      </c>
      <c r="C104" s="200" t="s">
        <v>518</v>
      </c>
      <c r="D104" s="199" t="s">
        <v>519</v>
      </c>
      <c r="E104" s="199" t="s">
        <v>476</v>
      </c>
      <c r="F104" s="199" t="s">
        <v>387</v>
      </c>
      <c r="G104" s="376" t="s">
        <v>1513</v>
      </c>
      <c r="H104" s="199" t="s">
        <v>979</v>
      </c>
      <c r="I104" s="199" t="s">
        <v>430</v>
      </c>
    </row>
    <row r="105" spans="1:9" x14ac:dyDescent="0.3">
      <c r="A105" s="199" t="str">
        <f t="shared" si="10"/>
        <v>CT James Sprunt Community College</v>
      </c>
      <c r="B105" s="200" t="s">
        <v>516</v>
      </c>
      <c r="C105" s="200" t="s">
        <v>520</v>
      </c>
      <c r="D105" s="199" t="s">
        <v>521</v>
      </c>
      <c r="E105" s="199" t="s">
        <v>476</v>
      </c>
      <c r="F105" s="199" t="s">
        <v>387</v>
      </c>
      <c r="G105" s="376" t="s">
        <v>1514</v>
      </c>
      <c r="H105" s="199" t="s">
        <v>1090</v>
      </c>
      <c r="I105" s="199" t="s">
        <v>430</v>
      </c>
    </row>
    <row r="106" spans="1:9" x14ac:dyDescent="0.3">
      <c r="A106" s="199" t="str">
        <f t="shared" si="10"/>
        <v>CU Johnston Community College</v>
      </c>
      <c r="B106" s="200" t="s">
        <v>518</v>
      </c>
      <c r="C106" s="200" t="s">
        <v>857</v>
      </c>
      <c r="D106" s="199" t="s">
        <v>858</v>
      </c>
      <c r="E106" s="199" t="s">
        <v>476</v>
      </c>
      <c r="F106" s="199" t="s">
        <v>387</v>
      </c>
      <c r="G106" s="376" t="s">
        <v>1515</v>
      </c>
      <c r="H106" s="199" t="s">
        <v>1516</v>
      </c>
      <c r="I106" s="199" t="s">
        <v>430</v>
      </c>
    </row>
    <row r="107" spans="1:9" x14ac:dyDescent="0.3">
      <c r="A107" s="199" t="str">
        <f t="shared" si="10"/>
        <v>CV Lenoir Community College</v>
      </c>
      <c r="B107" s="200" t="s">
        <v>520</v>
      </c>
      <c r="C107" s="200" t="s">
        <v>522</v>
      </c>
      <c r="D107" s="199" t="s">
        <v>523</v>
      </c>
      <c r="E107" s="199" t="s">
        <v>476</v>
      </c>
      <c r="F107" s="199" t="s">
        <v>387</v>
      </c>
      <c r="G107" s="376" t="s">
        <v>1517</v>
      </c>
      <c r="H107" s="199" t="s">
        <v>1518</v>
      </c>
      <c r="I107" s="199" t="s">
        <v>430</v>
      </c>
    </row>
    <row r="108" spans="1:9" x14ac:dyDescent="0.3">
      <c r="A108" s="199" t="str">
        <f t="shared" si="10"/>
        <v>CW Martin Community College</v>
      </c>
      <c r="B108" s="200" t="s">
        <v>857</v>
      </c>
      <c r="C108" s="200" t="s">
        <v>524</v>
      </c>
      <c r="D108" s="199" t="s">
        <v>525</v>
      </c>
      <c r="E108" s="199" t="s">
        <v>476</v>
      </c>
      <c r="F108" s="199" t="s">
        <v>387</v>
      </c>
      <c r="G108" s="376" t="s">
        <v>1519</v>
      </c>
      <c r="H108" s="199" t="s">
        <v>1520</v>
      </c>
      <c r="I108" s="199" t="s">
        <v>430</v>
      </c>
    </row>
    <row r="109" spans="1:9" x14ac:dyDescent="0.3">
      <c r="A109" s="199" t="str">
        <f t="shared" si="10"/>
        <v>CX Mayland Community College</v>
      </c>
      <c r="B109" s="200" t="s">
        <v>522</v>
      </c>
      <c r="C109" s="200" t="s">
        <v>526</v>
      </c>
      <c r="D109" s="199" t="s">
        <v>527</v>
      </c>
      <c r="E109" s="199" t="s">
        <v>476</v>
      </c>
      <c r="F109" s="199" t="s">
        <v>387</v>
      </c>
      <c r="G109" s="376" t="s">
        <v>1521</v>
      </c>
      <c r="H109" s="199" t="s">
        <v>1522</v>
      </c>
      <c r="I109" s="199" t="s">
        <v>430</v>
      </c>
    </row>
    <row r="110" spans="1:9" x14ac:dyDescent="0.3">
      <c r="A110" s="199" t="str">
        <f t="shared" si="10"/>
        <v>CY McDowell Technical Community College</v>
      </c>
      <c r="B110" s="200" t="s">
        <v>524</v>
      </c>
      <c r="C110" s="200" t="s">
        <v>528</v>
      </c>
      <c r="D110" s="199" t="s">
        <v>529</v>
      </c>
      <c r="E110" s="199" t="s">
        <v>476</v>
      </c>
      <c r="F110" s="199" t="s">
        <v>387</v>
      </c>
      <c r="G110" s="376" t="s">
        <v>1523</v>
      </c>
      <c r="H110" s="199" t="s">
        <v>1524</v>
      </c>
      <c r="I110" s="199" t="s">
        <v>430</v>
      </c>
    </row>
    <row r="111" spans="1:9" x14ac:dyDescent="0.3">
      <c r="A111" s="199" t="str">
        <f t="shared" si="10"/>
        <v>CZ Mitchell Community College</v>
      </c>
      <c r="B111" s="200" t="s">
        <v>526</v>
      </c>
      <c r="C111" s="200" t="s">
        <v>530</v>
      </c>
      <c r="D111" s="199" t="s">
        <v>531</v>
      </c>
      <c r="E111" s="199" t="s">
        <v>476</v>
      </c>
      <c r="F111" s="199" t="s">
        <v>387</v>
      </c>
      <c r="G111" s="376" t="s">
        <v>860</v>
      </c>
      <c r="H111" s="199" t="s">
        <v>980</v>
      </c>
      <c r="I111" s="199" t="s">
        <v>430</v>
      </c>
    </row>
    <row r="112" spans="1:9" x14ac:dyDescent="0.3">
      <c r="A112" s="199" t="str">
        <f t="shared" si="10"/>
        <v>D0 Montgomery Community College</v>
      </c>
      <c r="B112" s="200" t="s">
        <v>528</v>
      </c>
      <c r="C112" s="200" t="s">
        <v>532</v>
      </c>
      <c r="D112" s="199" t="s">
        <v>533</v>
      </c>
      <c r="E112" s="199" t="s">
        <v>476</v>
      </c>
      <c r="F112" s="199" t="s">
        <v>387</v>
      </c>
      <c r="G112" s="376" t="s">
        <v>1091</v>
      </c>
      <c r="H112" s="199" t="s">
        <v>1525</v>
      </c>
      <c r="I112" s="199" t="s">
        <v>430</v>
      </c>
    </row>
    <row r="113" spans="1:9" x14ac:dyDescent="0.3">
      <c r="A113" s="199" t="str">
        <f t="shared" si="10"/>
        <v>D1 Nash Community College</v>
      </c>
      <c r="B113" s="200" t="s">
        <v>530</v>
      </c>
      <c r="C113" s="200" t="s">
        <v>534</v>
      </c>
      <c r="D113" s="199" t="s">
        <v>535</v>
      </c>
      <c r="E113" s="199" t="s">
        <v>476</v>
      </c>
      <c r="F113" s="199" t="s">
        <v>387</v>
      </c>
      <c r="G113" s="376" t="s">
        <v>1092</v>
      </c>
      <c r="H113" s="199" t="s">
        <v>1526</v>
      </c>
      <c r="I113" s="199" t="s">
        <v>430</v>
      </c>
    </row>
    <row r="114" spans="1:9" x14ac:dyDescent="0.3">
      <c r="A114" s="199" t="str">
        <f t="shared" si="10"/>
        <v>D2 Pamlico Community College</v>
      </c>
      <c r="B114" s="200" t="s">
        <v>532</v>
      </c>
      <c r="C114" s="200" t="s">
        <v>536</v>
      </c>
      <c r="D114" s="199" t="s">
        <v>537</v>
      </c>
      <c r="E114" s="199" t="s">
        <v>476</v>
      </c>
      <c r="F114" s="199" t="s">
        <v>387</v>
      </c>
      <c r="G114" s="376" t="s">
        <v>1527</v>
      </c>
      <c r="H114" s="199" t="s">
        <v>1528</v>
      </c>
      <c r="I114" s="199" t="s">
        <v>430</v>
      </c>
    </row>
    <row r="115" spans="1:9" x14ac:dyDescent="0.3">
      <c r="A115" s="199" t="str">
        <f t="shared" si="10"/>
        <v>D3 Piedmont Community College</v>
      </c>
      <c r="B115" s="200" t="s">
        <v>534</v>
      </c>
      <c r="C115" s="200" t="s">
        <v>538</v>
      </c>
      <c r="D115" s="199" t="s">
        <v>539</v>
      </c>
      <c r="E115" s="199" t="s">
        <v>476</v>
      </c>
      <c r="F115" s="199" t="s">
        <v>387</v>
      </c>
      <c r="G115" s="376" t="s">
        <v>859</v>
      </c>
      <c r="H115" s="199" t="s">
        <v>1529</v>
      </c>
      <c r="I115" s="199" t="s">
        <v>430</v>
      </c>
    </row>
    <row r="116" spans="1:9" x14ac:dyDescent="0.3">
      <c r="A116" s="199" t="str">
        <f t="shared" si="10"/>
        <v>D4 Pitt Community College</v>
      </c>
      <c r="B116" s="200" t="s">
        <v>536</v>
      </c>
      <c r="C116" s="200" t="s">
        <v>861</v>
      </c>
      <c r="D116" s="199" t="s">
        <v>862</v>
      </c>
      <c r="E116" s="199" t="s">
        <v>476</v>
      </c>
      <c r="F116" s="199" t="s">
        <v>387</v>
      </c>
      <c r="G116" s="376" t="s">
        <v>863</v>
      </c>
      <c r="H116" s="199" t="s">
        <v>981</v>
      </c>
      <c r="I116" s="199" t="s">
        <v>430</v>
      </c>
    </row>
    <row r="117" spans="1:9" x14ac:dyDescent="0.3">
      <c r="A117" s="199" t="str">
        <f t="shared" si="10"/>
        <v>D5 Randolph Community College</v>
      </c>
      <c r="B117" s="200" t="s">
        <v>538</v>
      </c>
      <c r="C117" s="200" t="s">
        <v>540</v>
      </c>
      <c r="D117" s="199" t="s">
        <v>541</v>
      </c>
      <c r="E117" s="199" t="s">
        <v>476</v>
      </c>
      <c r="F117" s="199" t="s">
        <v>387</v>
      </c>
      <c r="G117" s="376" t="s">
        <v>1530</v>
      </c>
      <c r="H117" s="199" t="s">
        <v>1531</v>
      </c>
      <c r="I117" s="199" t="s">
        <v>430</v>
      </c>
    </row>
    <row r="118" spans="1:9" x14ac:dyDescent="0.3">
      <c r="A118" s="199" t="str">
        <f t="shared" si="10"/>
        <v>D6 Richmond Community College</v>
      </c>
      <c r="B118" s="200" t="s">
        <v>861</v>
      </c>
      <c r="C118" s="200" t="s">
        <v>542</v>
      </c>
      <c r="D118" s="199" t="s">
        <v>543</v>
      </c>
      <c r="E118" s="199" t="s">
        <v>476</v>
      </c>
      <c r="F118" s="199" t="s">
        <v>387</v>
      </c>
      <c r="G118" s="376" t="s">
        <v>864</v>
      </c>
      <c r="H118" s="199" t="s">
        <v>982</v>
      </c>
      <c r="I118" s="199" t="s">
        <v>430</v>
      </c>
    </row>
    <row r="119" spans="1:9" x14ac:dyDescent="0.3">
      <c r="A119" s="199" t="str">
        <f t="shared" si="10"/>
        <v>D7 Roanoke-Chowan Community College</v>
      </c>
      <c r="B119" s="200" t="s">
        <v>540</v>
      </c>
      <c r="C119" s="200" t="s">
        <v>544</v>
      </c>
      <c r="D119" s="199" t="s">
        <v>545</v>
      </c>
      <c r="E119" s="199" t="s">
        <v>476</v>
      </c>
      <c r="F119" s="199" t="s">
        <v>387</v>
      </c>
      <c r="G119" s="376" t="s">
        <v>1532</v>
      </c>
      <c r="H119" s="199" t="s">
        <v>983</v>
      </c>
      <c r="I119" s="199" t="s">
        <v>430</v>
      </c>
    </row>
    <row r="120" spans="1:9" x14ac:dyDescent="0.3">
      <c r="A120" s="199" t="str">
        <f t="shared" si="10"/>
        <v>D8 Robeson Community College</v>
      </c>
      <c r="B120" s="200" t="s">
        <v>542</v>
      </c>
      <c r="C120" s="200" t="s">
        <v>546</v>
      </c>
      <c r="D120" s="199" t="s">
        <v>547</v>
      </c>
      <c r="E120" s="199" t="s">
        <v>476</v>
      </c>
      <c r="F120" s="199" t="s">
        <v>387</v>
      </c>
      <c r="G120" s="376" t="s">
        <v>1533</v>
      </c>
      <c r="H120" s="199" t="s">
        <v>984</v>
      </c>
      <c r="I120" s="199" t="s">
        <v>430</v>
      </c>
    </row>
    <row r="121" spans="1:9" x14ac:dyDescent="0.3">
      <c r="A121" s="199" t="str">
        <f t="shared" si="10"/>
        <v>D9 Rockingham Community College</v>
      </c>
      <c r="B121" s="200" t="s">
        <v>544</v>
      </c>
      <c r="C121" s="200" t="s">
        <v>548</v>
      </c>
      <c r="D121" s="199" t="s">
        <v>549</v>
      </c>
      <c r="E121" s="199" t="s">
        <v>476</v>
      </c>
      <c r="F121" s="199" t="s">
        <v>387</v>
      </c>
      <c r="G121" s="376" t="s">
        <v>865</v>
      </c>
      <c r="H121" s="199" t="s">
        <v>1534</v>
      </c>
      <c r="I121" s="199" t="s">
        <v>430</v>
      </c>
    </row>
    <row r="122" spans="1:9" x14ac:dyDescent="0.3">
      <c r="A122" s="199" t="str">
        <f t="shared" si="10"/>
        <v>DA Rowan-Cabarrus Community College</v>
      </c>
      <c r="B122" s="200" t="s">
        <v>546</v>
      </c>
      <c r="C122" s="200" t="s">
        <v>550</v>
      </c>
      <c r="D122" s="199" t="s">
        <v>551</v>
      </c>
      <c r="E122" s="199" t="s">
        <v>476</v>
      </c>
      <c r="F122" s="199" t="s">
        <v>387</v>
      </c>
      <c r="G122" s="376" t="s">
        <v>1535</v>
      </c>
      <c r="H122" s="199" t="s">
        <v>1536</v>
      </c>
      <c r="I122" s="199" t="s">
        <v>430</v>
      </c>
    </row>
    <row r="123" spans="1:9" x14ac:dyDescent="0.3">
      <c r="A123" s="199" t="str">
        <f t="shared" si="10"/>
        <v>DB Sampson Community College</v>
      </c>
      <c r="B123" s="200" t="s">
        <v>548</v>
      </c>
      <c r="C123" s="200" t="s">
        <v>552</v>
      </c>
      <c r="D123" s="199" t="s">
        <v>553</v>
      </c>
      <c r="E123" s="199" t="s">
        <v>476</v>
      </c>
      <c r="F123" s="199" t="s">
        <v>387</v>
      </c>
      <c r="G123" s="376" t="s">
        <v>1537</v>
      </c>
      <c r="H123" s="199" t="s">
        <v>1538</v>
      </c>
      <c r="I123" s="199" t="s">
        <v>430</v>
      </c>
    </row>
    <row r="124" spans="1:9" x14ac:dyDescent="0.3">
      <c r="A124" s="199" t="str">
        <f t="shared" si="10"/>
        <v>DC Sandhills Community College</v>
      </c>
      <c r="B124" s="200" t="s">
        <v>550</v>
      </c>
      <c r="C124" s="200" t="s">
        <v>554</v>
      </c>
      <c r="D124" s="199" t="s">
        <v>555</v>
      </c>
      <c r="E124" s="199" t="s">
        <v>476</v>
      </c>
      <c r="F124" s="199" t="s">
        <v>387</v>
      </c>
      <c r="G124" s="376" t="s">
        <v>1539</v>
      </c>
      <c r="H124" s="199" t="s">
        <v>1540</v>
      </c>
      <c r="I124" s="199" t="s">
        <v>430</v>
      </c>
    </row>
    <row r="125" spans="1:9" x14ac:dyDescent="0.3">
      <c r="A125" s="199" t="str">
        <f t="shared" si="10"/>
        <v>C1 South Piedmont Community College</v>
      </c>
      <c r="B125" s="200" t="s">
        <v>552</v>
      </c>
      <c r="C125" s="200" t="s">
        <v>556</v>
      </c>
      <c r="D125" s="199" t="s">
        <v>557</v>
      </c>
      <c r="E125" s="199" t="s">
        <v>476</v>
      </c>
      <c r="F125" s="199" t="s">
        <v>387</v>
      </c>
      <c r="G125" s="376" t="s">
        <v>866</v>
      </c>
      <c r="H125" s="199" t="s">
        <v>1541</v>
      </c>
      <c r="I125" s="199" t="s">
        <v>430</v>
      </c>
    </row>
    <row r="126" spans="1:9" x14ac:dyDescent="0.3">
      <c r="A126" s="199" t="str">
        <f t="shared" si="10"/>
        <v>DD Southeastern Community College</v>
      </c>
      <c r="B126" s="200" t="s">
        <v>554</v>
      </c>
      <c r="C126" s="200" t="s">
        <v>867</v>
      </c>
      <c r="D126" s="199" t="s">
        <v>868</v>
      </c>
      <c r="E126" s="199" t="s">
        <v>476</v>
      </c>
      <c r="F126" s="199" t="s">
        <v>387</v>
      </c>
      <c r="G126" s="376" t="s">
        <v>1542</v>
      </c>
      <c r="H126" s="199" t="s">
        <v>1543</v>
      </c>
      <c r="I126" s="199" t="s">
        <v>430</v>
      </c>
    </row>
    <row r="127" spans="1:9" x14ac:dyDescent="0.3">
      <c r="A127" s="199" t="str">
        <f t="shared" si="10"/>
        <v>DE Southwestern Community College</v>
      </c>
      <c r="B127" s="200" t="s">
        <v>556</v>
      </c>
      <c r="C127" s="200" t="s">
        <v>558</v>
      </c>
      <c r="D127" s="199" t="s">
        <v>559</v>
      </c>
      <c r="E127" s="199" t="s">
        <v>476</v>
      </c>
      <c r="F127" s="199" t="s">
        <v>387</v>
      </c>
      <c r="G127" s="376" t="s">
        <v>1544</v>
      </c>
      <c r="H127" s="199" t="s">
        <v>1545</v>
      </c>
      <c r="I127" s="199" t="s">
        <v>430</v>
      </c>
    </row>
    <row r="128" spans="1:9" x14ac:dyDescent="0.3">
      <c r="A128" s="199" t="str">
        <f t="shared" si="10"/>
        <v>DF Stanly Community College</v>
      </c>
      <c r="B128" s="200" t="s">
        <v>867</v>
      </c>
      <c r="C128" s="200" t="s">
        <v>560</v>
      </c>
      <c r="D128" s="199" t="s">
        <v>561</v>
      </c>
      <c r="E128" s="199" t="s">
        <v>476</v>
      </c>
      <c r="F128" s="199" t="s">
        <v>387</v>
      </c>
      <c r="G128" s="376" t="s">
        <v>1546</v>
      </c>
      <c r="H128" s="199" t="s">
        <v>1547</v>
      </c>
      <c r="I128" s="199" t="s">
        <v>430</v>
      </c>
    </row>
    <row r="129" spans="1:9" x14ac:dyDescent="0.3">
      <c r="A129" s="199" t="str">
        <f t="shared" si="10"/>
        <v>DG Surry Community College</v>
      </c>
      <c r="B129" s="200" t="s">
        <v>558</v>
      </c>
      <c r="C129" s="200" t="s">
        <v>562</v>
      </c>
      <c r="D129" s="199" t="s">
        <v>563</v>
      </c>
      <c r="E129" s="199" t="s">
        <v>476</v>
      </c>
      <c r="F129" s="199" t="s">
        <v>387</v>
      </c>
      <c r="G129" s="376" t="s">
        <v>1548</v>
      </c>
      <c r="H129" s="199" t="s">
        <v>1549</v>
      </c>
      <c r="I129" s="199" t="s">
        <v>430</v>
      </c>
    </row>
    <row r="130" spans="1:9" x14ac:dyDescent="0.3">
      <c r="A130" s="199" t="str">
        <f t="shared" si="10"/>
        <v>DH Tri-County Community College</v>
      </c>
      <c r="B130" s="200" t="s">
        <v>560</v>
      </c>
      <c r="C130" s="200" t="s">
        <v>564</v>
      </c>
      <c r="D130" s="199" t="s">
        <v>565</v>
      </c>
      <c r="E130" s="199" t="s">
        <v>476</v>
      </c>
      <c r="F130" s="199" t="s">
        <v>387</v>
      </c>
      <c r="G130" s="376" t="s">
        <v>870</v>
      </c>
      <c r="H130" s="199" t="s">
        <v>1550</v>
      </c>
      <c r="I130" s="199" t="s">
        <v>430</v>
      </c>
    </row>
    <row r="131" spans="1:9" x14ac:dyDescent="0.3">
      <c r="A131" s="199" t="str">
        <f t="shared" si="10"/>
        <v>DJ Vance-Granville Community College</v>
      </c>
      <c r="B131" s="200" t="s">
        <v>562</v>
      </c>
      <c r="C131" s="200" t="s">
        <v>566</v>
      </c>
      <c r="D131" s="199" t="s">
        <v>567</v>
      </c>
      <c r="E131" s="199" t="s">
        <v>476</v>
      </c>
      <c r="F131" s="199" t="s">
        <v>387</v>
      </c>
      <c r="G131" s="376" t="s">
        <v>871</v>
      </c>
      <c r="H131" s="199" t="s">
        <v>1551</v>
      </c>
      <c r="I131" s="199" t="s">
        <v>430</v>
      </c>
    </row>
    <row r="132" spans="1:9" x14ac:dyDescent="0.3">
      <c r="A132" s="199" t="str">
        <f t="shared" si="10"/>
        <v>DK Wake Technical Community College</v>
      </c>
      <c r="B132" s="200" t="s">
        <v>564</v>
      </c>
      <c r="C132" s="200" t="s">
        <v>568</v>
      </c>
      <c r="D132" s="199" t="s">
        <v>569</v>
      </c>
      <c r="E132" s="199" t="s">
        <v>476</v>
      </c>
      <c r="F132" s="199" t="s">
        <v>387</v>
      </c>
      <c r="G132" s="376" t="s">
        <v>1552</v>
      </c>
      <c r="H132" s="199" t="s">
        <v>1553</v>
      </c>
      <c r="I132" s="199" t="s">
        <v>430</v>
      </c>
    </row>
    <row r="133" spans="1:9" x14ac:dyDescent="0.3">
      <c r="A133" s="199" t="str">
        <f>C131&amp;" "&amp;D131</f>
        <v>DL Wayne Community College</v>
      </c>
      <c r="B133" s="200" t="s">
        <v>566</v>
      </c>
      <c r="C133" s="200" t="s">
        <v>570</v>
      </c>
      <c r="D133" s="199" t="s">
        <v>571</v>
      </c>
      <c r="E133" s="199" t="s">
        <v>476</v>
      </c>
      <c r="F133" s="199" t="s">
        <v>387</v>
      </c>
      <c r="G133" s="376" t="s">
        <v>1093</v>
      </c>
      <c r="H133" s="199" t="s">
        <v>1094</v>
      </c>
      <c r="I133" s="199" t="s">
        <v>430</v>
      </c>
    </row>
    <row r="134" spans="1:9" x14ac:dyDescent="0.3">
      <c r="A134" s="199" t="str">
        <f>C132&amp;" "&amp;D132</f>
        <v>DM Western Piedmont Community College</v>
      </c>
      <c r="B134" s="200" t="s">
        <v>568</v>
      </c>
      <c r="C134" s="200" t="s">
        <v>572</v>
      </c>
      <c r="D134" s="199" t="s">
        <v>573</v>
      </c>
      <c r="E134" s="199" t="s">
        <v>476</v>
      </c>
      <c r="F134" s="199" t="s">
        <v>387</v>
      </c>
      <c r="G134" s="376" t="s">
        <v>872</v>
      </c>
      <c r="H134" s="199" t="s">
        <v>1554</v>
      </c>
      <c r="I134" s="199" t="s">
        <v>430</v>
      </c>
    </row>
    <row r="135" spans="1:9" x14ac:dyDescent="0.3">
      <c r="A135" s="199" t="str">
        <f>C133&amp;" "&amp;D133</f>
        <v>DN Wilkes Community College</v>
      </c>
      <c r="B135" s="200" t="s">
        <v>570</v>
      </c>
      <c r="C135" s="200"/>
    </row>
    <row r="136" spans="1:9" x14ac:dyDescent="0.3">
      <c r="A136" s="199" t="str">
        <f>C134&amp;" "&amp;D134</f>
        <v>DP Wilson Community College</v>
      </c>
      <c r="B136" s="200" t="s">
        <v>572</v>
      </c>
    </row>
    <row r="137" spans="1:9" x14ac:dyDescent="0.3">
      <c r="B137" s="200" t="s">
        <v>226</v>
      </c>
      <c r="C137" s="199" t="s">
        <v>574</v>
      </c>
    </row>
    <row r="138" spans="1:9" x14ac:dyDescent="0.3">
      <c r="C138" s="199" t="s">
        <v>518</v>
      </c>
      <c r="D138" s="199" t="s">
        <v>575</v>
      </c>
    </row>
    <row r="139" spans="1:9" x14ac:dyDescent="0.3">
      <c r="C139" s="199" t="s">
        <v>576</v>
      </c>
      <c r="D139" s="199" t="s">
        <v>577</v>
      </c>
    </row>
    <row r="140" spans="1:9" x14ac:dyDescent="0.3">
      <c r="C140" s="199" t="s">
        <v>493</v>
      </c>
      <c r="D140" s="199" t="s">
        <v>578</v>
      </c>
    </row>
    <row r="141" spans="1:9" x14ac:dyDescent="0.3">
      <c r="C141" s="450" t="s">
        <v>873</v>
      </c>
      <c r="D141" s="199" t="s">
        <v>874</v>
      </c>
    </row>
    <row r="142" spans="1:9" x14ac:dyDescent="0.3">
      <c r="C142" s="199" t="s">
        <v>390</v>
      </c>
      <c r="D142" s="311" t="s">
        <v>1565</v>
      </c>
    </row>
    <row r="143" spans="1:9" x14ac:dyDescent="0.3">
      <c r="C143" s="199" t="s">
        <v>387</v>
      </c>
      <c r="D143" s="311" t="s">
        <v>1566</v>
      </c>
    </row>
    <row r="145" spans="3:3" x14ac:dyDescent="0.3">
      <c r="C145" s="199" t="s">
        <v>1567</v>
      </c>
    </row>
    <row r="146" spans="3:3" x14ac:dyDescent="0.3">
      <c r="C146" s="199" t="s">
        <v>1568</v>
      </c>
    </row>
  </sheetData>
  <sheetProtection algorithmName="SHA-512" hashValue="6XNBt68J87a+foxRCO4Px/x6ase8+sXVI77VkGrmPDcvyGTZJ+hzquOO1JP/Y1eBTgKZIUTeNLixK4dnsrid8A==" saltValue="cEGPEsMx10ngaMYOihhOvQ==" spinCount="100000" sheet="1" objects="1" scenarios="1" autoFilter="0"/>
  <hyperlinks>
    <hyperlink ref="D1" location="Index!A1" display="Office of the State Controller" xr:uid="{D6128E51-4CAB-4356-BAAE-60168CAFEF2B}"/>
  </hyperlinks>
  <pageMargins left="0" right="0" top="0.75" bottom="0.75" header="0.3" footer="0.3"/>
  <pageSetup scale="80" orientation="landscape" r:id="rId1"/>
  <rowBreaks count="1" manualBreakCount="1">
    <brk id="114" max="9"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0">
    <tabColor rgb="FFFFFF00"/>
  </sheetPr>
  <dimension ref="A1:M115"/>
  <sheetViews>
    <sheetView showGridLines="0" topLeftCell="A2" zoomScaleNormal="100" workbookViewId="0">
      <pane xSplit="2" ySplit="8" topLeftCell="C10" activePane="bottomRight" state="frozen"/>
      <selection sqref="A1:M1"/>
      <selection pane="topRight" sqref="A1:M1"/>
      <selection pane="bottomLeft" sqref="A1:M1"/>
      <selection pane="bottomRight" activeCell="A32" sqref="A32:XFD32"/>
    </sheetView>
  </sheetViews>
  <sheetFormatPr defaultColWidth="9.109375" defaultRowHeight="13.2" x14ac:dyDescent="0.25"/>
  <cols>
    <col min="1" max="1" width="16.5546875" customWidth="1"/>
    <col min="2" max="2" width="24.88671875" customWidth="1"/>
    <col min="3" max="3" width="5.5546875" customWidth="1"/>
    <col min="4" max="4" width="18.88671875" customWidth="1"/>
    <col min="5" max="5" width="15.88671875" customWidth="1"/>
    <col min="6" max="6" width="15.44140625" customWidth="1"/>
    <col min="7" max="8" width="16.5546875" customWidth="1"/>
    <col min="9" max="9" width="16" bestFit="1" customWidth="1"/>
    <col min="10" max="10" width="17.33203125" customWidth="1"/>
    <col min="11" max="11" width="15" bestFit="1" customWidth="1"/>
    <col min="12" max="12" width="15.88671875" customWidth="1"/>
    <col min="13" max="13" width="3.5546875" customWidth="1"/>
  </cols>
  <sheetData>
    <row r="1" spans="1:13" ht="15.6" x14ac:dyDescent="0.3">
      <c r="A1" s="854" t="str">
        <f>+Index!$A$1</f>
        <v>Office of the State Controller</v>
      </c>
      <c r="B1" s="854"/>
      <c r="C1" s="854"/>
      <c r="D1" s="854"/>
      <c r="E1" s="854"/>
      <c r="F1" s="21"/>
      <c r="G1" s="21"/>
      <c r="H1" s="21"/>
    </row>
    <row r="2" spans="1:13" ht="16.5" customHeight="1" x14ac:dyDescent="0.3">
      <c r="A2" s="1094" t="str">
        <f>Index!$A$2</f>
        <v>2022 ACFR Worksheets for Nonmajor Component Units</v>
      </c>
      <c r="B2" s="1094"/>
      <c r="C2" s="1094"/>
      <c r="D2" s="1094"/>
      <c r="E2" s="1094"/>
      <c r="F2" s="115"/>
      <c r="G2" s="360"/>
      <c r="H2" s="360"/>
    </row>
    <row r="3" spans="1:13" ht="16.5" customHeight="1" x14ac:dyDescent="0.3">
      <c r="A3" s="855" t="s">
        <v>1282</v>
      </c>
      <c r="B3" s="855"/>
      <c r="C3" s="855"/>
      <c r="D3" s="855"/>
      <c r="E3" s="855"/>
      <c r="F3" s="115"/>
      <c r="G3" s="360"/>
      <c r="H3" s="360"/>
    </row>
    <row r="4" spans="1:13" ht="15.75" customHeight="1" x14ac:dyDescent="0.25">
      <c r="A4" s="1095" t="s">
        <v>660</v>
      </c>
      <c r="B4" s="1096"/>
      <c r="C4" s="1096"/>
      <c r="D4" s="1096"/>
      <c r="E4" s="1097"/>
    </row>
    <row r="5" spans="1:13" s="117" customFormat="1" ht="15" customHeight="1" x14ac:dyDescent="0.25">
      <c r="A5" s="1087"/>
      <c r="B5" s="1088"/>
      <c r="C5" s="1088"/>
      <c r="D5" s="374"/>
      <c r="E5" s="232"/>
      <c r="F5" s="232"/>
      <c r="G5" s="232"/>
      <c r="H5" s="232"/>
      <c r="I5" s="232"/>
      <c r="J5" s="232"/>
      <c r="K5" s="232"/>
      <c r="L5" s="232"/>
      <c r="M5" s="232"/>
    </row>
    <row r="6" spans="1:13" s="117" customFormat="1" ht="15" customHeight="1" x14ac:dyDescent="0.25">
      <c r="A6" s="1087"/>
      <c r="B6" s="1088"/>
      <c r="C6" s="1088"/>
      <c r="D6" s="771" t="s">
        <v>431</v>
      </c>
      <c r="E6" s="772" t="s">
        <v>592</v>
      </c>
      <c r="F6" s="771" t="s">
        <v>594</v>
      </c>
      <c r="G6" s="771" t="s">
        <v>221</v>
      </c>
      <c r="H6" s="771" t="s">
        <v>471</v>
      </c>
      <c r="I6" s="771" t="s">
        <v>323</v>
      </c>
      <c r="J6" s="771" t="s">
        <v>87</v>
      </c>
      <c r="K6" s="232" t="s">
        <v>935</v>
      </c>
      <c r="L6" s="232" t="s">
        <v>732</v>
      </c>
      <c r="M6" s="232"/>
    </row>
    <row r="7" spans="1:13" s="117" customFormat="1" ht="15" customHeight="1" x14ac:dyDescent="0.25">
      <c r="A7" s="265"/>
      <c r="B7" s="367"/>
      <c r="D7" s="364" t="s">
        <v>718</v>
      </c>
      <c r="E7" s="364" t="s">
        <v>654</v>
      </c>
      <c r="F7" s="364" t="s">
        <v>651</v>
      </c>
      <c r="G7" s="363" t="s">
        <v>646</v>
      </c>
      <c r="H7" s="363" t="s">
        <v>720</v>
      </c>
      <c r="I7" s="363" t="s">
        <v>648</v>
      </c>
      <c r="J7" s="363" t="s">
        <v>716</v>
      </c>
      <c r="K7" s="363" t="s">
        <v>937</v>
      </c>
      <c r="L7" s="363" t="s">
        <v>715</v>
      </c>
      <c r="M7" s="363"/>
    </row>
    <row r="8" spans="1:13" s="123" customFormat="1" ht="12" customHeight="1" thickBot="1" x14ac:dyDescent="0.3">
      <c r="A8" s="122"/>
      <c r="B8" s="122"/>
      <c r="D8" s="366" t="s">
        <v>719</v>
      </c>
      <c r="E8" s="366" t="s">
        <v>653</v>
      </c>
      <c r="F8" s="362" t="s">
        <v>650</v>
      </c>
      <c r="G8" s="362" t="s">
        <v>647</v>
      </c>
      <c r="H8" s="362" t="s">
        <v>721</v>
      </c>
      <c r="I8" s="362" t="s">
        <v>649</v>
      </c>
      <c r="J8" s="362" t="s">
        <v>717</v>
      </c>
      <c r="K8" s="362" t="s">
        <v>938</v>
      </c>
      <c r="L8" s="362" t="s">
        <v>725</v>
      </c>
      <c r="M8" s="362"/>
    </row>
    <row r="9" spans="1:13" ht="11.25" customHeight="1" x14ac:dyDescent="0.25">
      <c r="A9" s="5"/>
      <c r="D9" s="365">
        <v>2611</v>
      </c>
      <c r="E9" s="365">
        <v>2615</v>
      </c>
      <c r="F9" s="365">
        <v>2618</v>
      </c>
      <c r="G9" s="365">
        <v>2621</v>
      </c>
      <c r="H9" s="365">
        <v>2620</v>
      </c>
      <c r="I9" s="365">
        <v>2627</v>
      </c>
      <c r="J9" s="365">
        <v>2640</v>
      </c>
      <c r="K9" s="365">
        <v>2644</v>
      </c>
      <c r="L9" s="379">
        <v>2626</v>
      </c>
      <c r="M9" s="365"/>
    </row>
    <row r="10" spans="1:13" ht="8.25" customHeight="1" x14ac:dyDescent="0.25"/>
    <row r="11" spans="1:13" x14ac:dyDescent="0.25">
      <c r="A11" s="124" t="s">
        <v>260</v>
      </c>
      <c r="B11" s="124"/>
      <c r="D11" s="121"/>
      <c r="E11" s="121"/>
      <c r="F11" s="121"/>
      <c r="G11" s="121"/>
      <c r="H11" s="121"/>
      <c r="I11" s="121"/>
      <c r="J11" s="121"/>
      <c r="K11" s="121"/>
      <c r="L11" s="121"/>
      <c r="M11" s="121"/>
    </row>
    <row r="12" spans="1:13" x14ac:dyDescent="0.25">
      <c r="A12" s="848" t="s">
        <v>236</v>
      </c>
      <c r="B12" s="848"/>
      <c r="C12" s="264"/>
      <c r="D12" s="485">
        <v>40028000</v>
      </c>
      <c r="E12" s="485">
        <v>2738152.43</v>
      </c>
      <c r="F12" s="485">
        <v>5384453</v>
      </c>
      <c r="G12" s="485">
        <v>5024093.7</v>
      </c>
      <c r="H12" s="485">
        <v>0</v>
      </c>
      <c r="I12" s="485">
        <v>18963730.09</v>
      </c>
      <c r="J12" s="485">
        <v>998402.83</v>
      </c>
      <c r="K12" s="485">
        <v>6995510</v>
      </c>
      <c r="L12" s="485">
        <v>12474671</v>
      </c>
      <c r="M12" s="337"/>
    </row>
    <row r="13" spans="1:13" x14ac:dyDescent="0.25">
      <c r="A13" s="848" t="s">
        <v>237</v>
      </c>
      <c r="B13" s="848"/>
      <c r="D13" s="485">
        <v>0</v>
      </c>
      <c r="E13" s="485"/>
      <c r="F13" s="485">
        <v>13592618</v>
      </c>
      <c r="G13" s="485">
        <v>0</v>
      </c>
      <c r="H13" s="485"/>
      <c r="I13" s="485"/>
      <c r="J13" s="485">
        <v>1364212045.1500001</v>
      </c>
      <c r="K13" s="485"/>
      <c r="L13" s="485"/>
      <c r="M13" s="145"/>
    </row>
    <row r="14" spans="1:13" x14ac:dyDescent="0.25">
      <c r="A14" s="848" t="s">
        <v>257</v>
      </c>
      <c r="B14" s="848"/>
      <c r="D14" s="485">
        <v>12711000</v>
      </c>
      <c r="E14" s="485"/>
      <c r="F14" s="485">
        <v>302287</v>
      </c>
      <c r="G14" s="485">
        <v>6818634.9800000004</v>
      </c>
      <c r="H14" s="485">
        <v>56131845</v>
      </c>
      <c r="I14" s="485">
        <v>4305386.5599999996</v>
      </c>
      <c r="J14" s="485">
        <v>0</v>
      </c>
      <c r="K14" s="485">
        <v>266884</v>
      </c>
      <c r="L14" s="485">
        <v>2629254</v>
      </c>
      <c r="M14" s="145"/>
    </row>
    <row r="15" spans="1:13" x14ac:dyDescent="0.25">
      <c r="A15" s="848" t="s">
        <v>628</v>
      </c>
      <c r="B15" s="848"/>
      <c r="D15" s="485">
        <v>0</v>
      </c>
      <c r="E15" s="485"/>
      <c r="F15" s="485"/>
      <c r="G15" s="485"/>
      <c r="H15" s="485">
        <v>2600069</v>
      </c>
      <c r="I15" s="485"/>
      <c r="J15" s="485">
        <v>412356.72</v>
      </c>
      <c r="K15" s="485"/>
      <c r="L15" s="485"/>
      <c r="M15" s="145"/>
    </row>
    <row r="16" spans="1:13" x14ac:dyDescent="0.25">
      <c r="A16" s="848" t="s">
        <v>629</v>
      </c>
      <c r="B16" s="894"/>
      <c r="D16" s="485">
        <v>0</v>
      </c>
      <c r="E16" s="485"/>
      <c r="F16" s="485"/>
      <c r="G16" s="485"/>
      <c r="H16" s="485"/>
      <c r="I16" s="485"/>
      <c r="J16" s="485"/>
      <c r="K16" s="485"/>
      <c r="L16" s="485"/>
      <c r="M16" s="145"/>
    </row>
    <row r="17" spans="1:13" s="770" customFormat="1" x14ac:dyDescent="0.25">
      <c r="A17" s="848" t="s">
        <v>1350</v>
      </c>
      <c r="B17" s="894"/>
      <c r="D17" s="485"/>
      <c r="E17" s="485"/>
      <c r="F17" s="485"/>
      <c r="G17" s="485"/>
      <c r="H17" s="485"/>
      <c r="I17" s="485"/>
      <c r="J17" s="485"/>
      <c r="K17" s="485">
        <v>3604</v>
      </c>
      <c r="L17" s="485"/>
      <c r="M17" s="145"/>
    </row>
    <row r="18" spans="1:13" x14ac:dyDescent="0.25">
      <c r="A18" s="894" t="s">
        <v>258</v>
      </c>
      <c r="B18" s="894"/>
      <c r="D18" s="485">
        <v>0</v>
      </c>
      <c r="E18" s="485"/>
      <c r="F18" s="485"/>
      <c r="G18" s="485"/>
      <c r="H18" s="485"/>
      <c r="I18" s="485"/>
      <c r="J18" s="485"/>
      <c r="K18" s="485"/>
      <c r="L18" s="485"/>
      <c r="M18" s="145"/>
    </row>
    <row r="19" spans="1:13" x14ac:dyDescent="0.25">
      <c r="A19" s="894" t="s">
        <v>268</v>
      </c>
      <c r="B19" s="894"/>
      <c r="D19" s="485">
        <v>0</v>
      </c>
      <c r="E19" s="485">
        <v>3200000</v>
      </c>
      <c r="F19" s="485">
        <v>193113</v>
      </c>
      <c r="G19" s="485">
        <v>100790.62</v>
      </c>
      <c r="H19" s="485">
        <v>13522</v>
      </c>
      <c r="I19" s="485">
        <v>184664.79</v>
      </c>
      <c r="J19" s="485">
        <v>127707.48</v>
      </c>
      <c r="K19" s="485">
        <v>982912</v>
      </c>
      <c r="L19" s="485">
        <v>0</v>
      </c>
      <c r="M19" s="145"/>
    </row>
    <row r="20" spans="1:13" x14ac:dyDescent="0.25">
      <c r="A20" s="894" t="s">
        <v>259</v>
      </c>
      <c r="B20" s="894"/>
      <c r="D20" s="485">
        <v>411317000</v>
      </c>
      <c r="E20" s="485"/>
      <c r="F20" s="485">
        <v>8984880</v>
      </c>
      <c r="G20" s="485"/>
      <c r="H20" s="485">
        <v>1007264236</v>
      </c>
      <c r="I20" s="485"/>
      <c r="J20" s="485">
        <v>29732.12</v>
      </c>
      <c r="K20" s="485"/>
      <c r="L20" s="485"/>
      <c r="M20" s="145"/>
    </row>
    <row r="21" spans="1:13" s="784" customFormat="1" x14ac:dyDescent="0.25">
      <c r="A21" s="862" t="s">
        <v>1416</v>
      </c>
      <c r="B21" s="896"/>
      <c r="D21" s="485"/>
      <c r="E21" s="485"/>
      <c r="F21" s="485"/>
      <c r="G21" s="485"/>
      <c r="H21" s="485"/>
      <c r="I21" s="485"/>
      <c r="J21" s="485"/>
      <c r="K21" s="485"/>
      <c r="L21" s="485"/>
      <c r="M21" s="145"/>
    </row>
    <row r="22" spans="1:13" x14ac:dyDescent="0.25">
      <c r="A22" s="862" t="s">
        <v>991</v>
      </c>
      <c r="B22" s="862"/>
      <c r="D22" s="486"/>
      <c r="E22" s="486"/>
      <c r="F22" s="486"/>
      <c r="G22" s="486"/>
      <c r="H22" s="486">
        <v>0</v>
      </c>
      <c r="I22" s="486"/>
      <c r="J22" s="486"/>
      <c r="K22" s="486"/>
      <c r="L22" s="486"/>
      <c r="M22" s="145"/>
    </row>
    <row r="23" spans="1:13" x14ac:dyDescent="0.25">
      <c r="A23" s="848" t="s">
        <v>1110</v>
      </c>
      <c r="B23" s="848"/>
      <c r="D23" s="486">
        <v>24000</v>
      </c>
      <c r="E23" s="486"/>
      <c r="F23" s="486"/>
      <c r="G23" s="486"/>
      <c r="H23" s="486">
        <v>8102</v>
      </c>
      <c r="I23" s="486">
        <v>0</v>
      </c>
      <c r="J23" s="486"/>
      <c r="K23" s="486"/>
      <c r="L23" s="486"/>
      <c r="M23" s="145"/>
    </row>
    <row r="24" spans="1:13" x14ac:dyDescent="0.25">
      <c r="A24" s="848" t="s">
        <v>341</v>
      </c>
      <c r="B24" s="848"/>
      <c r="D24" s="486">
        <v>762842000</v>
      </c>
      <c r="E24" s="486"/>
      <c r="F24" s="486"/>
      <c r="G24" s="486">
        <v>24000</v>
      </c>
      <c r="H24" s="486">
        <v>577643603</v>
      </c>
      <c r="I24" s="486">
        <v>6165</v>
      </c>
      <c r="J24" s="486"/>
      <c r="K24" s="486"/>
      <c r="L24" s="486">
        <v>23282281</v>
      </c>
      <c r="M24" s="145"/>
    </row>
    <row r="25" spans="1:13" x14ac:dyDescent="0.25">
      <c r="A25" s="848" t="s">
        <v>120</v>
      </c>
      <c r="B25" s="848"/>
      <c r="D25" s="486">
        <v>1250508000</v>
      </c>
      <c r="E25" s="486"/>
      <c r="F25" s="486"/>
      <c r="G25" s="486"/>
      <c r="H25" s="486">
        <v>3473359646</v>
      </c>
      <c r="I25" s="486">
        <v>108457061.78</v>
      </c>
      <c r="J25" s="486">
        <v>5201.66</v>
      </c>
      <c r="K25" s="486"/>
      <c r="L25" s="486">
        <v>820086</v>
      </c>
      <c r="M25" s="145"/>
    </row>
    <row r="26" spans="1:13" x14ac:dyDescent="0.25">
      <c r="A26" s="848" t="s">
        <v>630</v>
      </c>
      <c r="B26" s="848"/>
      <c r="D26" s="486">
        <v>0</v>
      </c>
      <c r="E26" s="486"/>
      <c r="F26" s="486"/>
      <c r="G26" s="486"/>
      <c r="H26" s="486"/>
      <c r="I26" s="486"/>
      <c r="J26" s="486">
        <v>3298853.76</v>
      </c>
      <c r="K26" s="486"/>
      <c r="L26" s="486"/>
      <c r="M26" s="145"/>
    </row>
    <row r="27" spans="1:13" x14ac:dyDescent="0.25">
      <c r="A27" s="848" t="s">
        <v>121</v>
      </c>
      <c r="B27" s="848"/>
      <c r="D27" s="486">
        <v>0</v>
      </c>
      <c r="E27" s="486"/>
      <c r="F27" s="486"/>
      <c r="G27" s="486"/>
      <c r="H27" s="486"/>
      <c r="I27" s="486"/>
      <c r="J27" s="486"/>
      <c r="K27" s="486"/>
      <c r="L27" s="486"/>
      <c r="M27" s="145"/>
    </row>
    <row r="28" spans="1:13" x14ac:dyDescent="0.25">
      <c r="A28" s="848" t="s">
        <v>624</v>
      </c>
      <c r="B28" s="848"/>
      <c r="D28" s="486">
        <v>0</v>
      </c>
      <c r="E28" s="486"/>
      <c r="F28" s="486"/>
      <c r="G28" s="486"/>
      <c r="H28" s="486"/>
      <c r="I28" s="486"/>
      <c r="J28" s="486"/>
      <c r="K28" s="486"/>
      <c r="L28" s="486"/>
      <c r="M28" s="145"/>
    </row>
    <row r="29" spans="1:13" x14ac:dyDescent="0.25">
      <c r="A29" s="848" t="s">
        <v>1111</v>
      </c>
      <c r="B29" s="894"/>
      <c r="D29" s="486"/>
      <c r="E29" s="486"/>
      <c r="F29" s="486"/>
      <c r="G29" s="486"/>
      <c r="H29" s="486"/>
      <c r="I29" s="486"/>
      <c r="J29" s="486"/>
      <c r="K29" s="486"/>
      <c r="L29" s="486"/>
      <c r="M29" s="145"/>
    </row>
    <row r="30" spans="1:13" x14ac:dyDescent="0.25">
      <c r="A30" s="894" t="s">
        <v>269</v>
      </c>
      <c r="B30" s="894"/>
      <c r="D30" s="486">
        <v>0</v>
      </c>
      <c r="E30" s="486"/>
      <c r="F30" s="486"/>
      <c r="G30" s="486"/>
      <c r="H30" s="486">
        <v>0</v>
      </c>
      <c r="I30" s="486">
        <v>54652303.829999998</v>
      </c>
      <c r="J30" s="486">
        <v>903906</v>
      </c>
      <c r="K30" s="486"/>
      <c r="L30" s="486">
        <v>0</v>
      </c>
      <c r="M30" s="145"/>
    </row>
    <row r="31" spans="1:13" s="784" customFormat="1" x14ac:dyDescent="0.25">
      <c r="A31" s="894" t="s">
        <v>270</v>
      </c>
      <c r="B31" s="894"/>
      <c r="D31" s="787">
        <v>2399000</v>
      </c>
      <c r="E31" s="787">
        <v>3206250.55</v>
      </c>
      <c r="F31" s="787">
        <v>7983137</v>
      </c>
      <c r="G31" s="787">
        <v>10514.99</v>
      </c>
      <c r="H31" s="787">
        <v>2087899</v>
      </c>
      <c r="I31" s="787">
        <v>198913283.58000001</v>
      </c>
      <c r="J31" s="787">
        <v>2232200.21</v>
      </c>
      <c r="K31" s="787">
        <v>348940</v>
      </c>
      <c r="L31" s="787">
        <v>95645941</v>
      </c>
      <c r="M31" s="145"/>
    </row>
    <row r="32" spans="1:13" x14ac:dyDescent="0.25">
      <c r="A32" s="894" t="s">
        <v>368</v>
      </c>
      <c r="B32" s="894"/>
      <c r="D32" s="316">
        <f t="shared" ref="D32:L32" si="0">SUM(D12:D31)</f>
        <v>2479829000</v>
      </c>
      <c r="E32" s="316">
        <f t="shared" si="0"/>
        <v>9144402.9800000004</v>
      </c>
      <c r="F32" s="316">
        <f t="shared" si="0"/>
        <v>36440488</v>
      </c>
      <c r="G32" s="316">
        <f t="shared" si="0"/>
        <v>11978034.289999999</v>
      </c>
      <c r="H32" s="316">
        <f t="shared" si="0"/>
        <v>5119108922</v>
      </c>
      <c r="I32" s="316">
        <f t="shared" si="0"/>
        <v>385482595.63</v>
      </c>
      <c r="J32" s="316">
        <f t="shared" si="0"/>
        <v>1372220405.9300001</v>
      </c>
      <c r="K32" s="316">
        <f t="shared" si="0"/>
        <v>8597850</v>
      </c>
      <c r="L32" s="316">
        <f t="shared" si="0"/>
        <v>134852233</v>
      </c>
      <c r="M32" s="316"/>
    </row>
    <row r="33" spans="1:13" x14ac:dyDescent="0.25">
      <c r="A33" s="124"/>
      <c r="B33" s="124"/>
      <c r="D33" s="145"/>
      <c r="E33" s="145"/>
      <c r="F33" s="145"/>
      <c r="G33" s="145"/>
      <c r="H33" s="145"/>
      <c r="I33" s="145"/>
      <c r="J33" s="145"/>
      <c r="K33" s="145"/>
      <c r="L33" s="145"/>
      <c r="M33" s="145"/>
    </row>
    <row r="34" spans="1:13" x14ac:dyDescent="0.25">
      <c r="A34" s="124" t="s">
        <v>677</v>
      </c>
      <c r="B34" s="124"/>
      <c r="D34" s="145"/>
      <c r="E34" s="145"/>
      <c r="F34" s="145"/>
      <c r="G34" s="145"/>
      <c r="H34" s="145"/>
      <c r="I34" s="145"/>
      <c r="J34" s="145"/>
      <c r="K34" s="145"/>
      <c r="L34" s="145"/>
      <c r="M34" s="145"/>
    </row>
    <row r="35" spans="1:13" x14ac:dyDescent="0.25">
      <c r="A35" s="894" t="s">
        <v>678</v>
      </c>
      <c r="B35" s="894"/>
      <c r="D35" s="145">
        <v>1850000</v>
      </c>
      <c r="E35" s="145"/>
      <c r="F35" s="145"/>
      <c r="G35" s="145"/>
      <c r="H35" s="145"/>
      <c r="I35" s="145"/>
      <c r="J35" s="145"/>
      <c r="K35" s="145"/>
      <c r="L35" s="145"/>
      <c r="M35" s="145"/>
    </row>
    <row r="36" spans="1:13" x14ac:dyDescent="0.25">
      <c r="A36" s="848" t="s">
        <v>779</v>
      </c>
      <c r="B36" s="894"/>
      <c r="D36" s="145">
        <v>0</v>
      </c>
      <c r="E36" s="145"/>
      <c r="F36" s="145"/>
      <c r="G36" s="145"/>
      <c r="H36" s="145"/>
      <c r="I36" s="145"/>
      <c r="J36" s="145"/>
      <c r="K36" s="145"/>
      <c r="L36" s="145"/>
      <c r="M36" s="145"/>
    </row>
    <row r="37" spans="1:13" x14ac:dyDescent="0.25">
      <c r="A37" s="1089" t="s">
        <v>942</v>
      </c>
      <c r="B37" s="1090"/>
      <c r="D37" s="145">
        <v>3147000</v>
      </c>
      <c r="E37" s="145"/>
      <c r="F37" s="145"/>
      <c r="G37" s="145"/>
      <c r="H37" s="145">
        <v>699907</v>
      </c>
      <c r="I37" s="145"/>
      <c r="J37" s="145"/>
      <c r="K37" s="145"/>
      <c r="L37" s="145">
        <v>65508</v>
      </c>
      <c r="M37" s="145"/>
    </row>
    <row r="38" spans="1:13" x14ac:dyDescent="0.25">
      <c r="A38" s="863" t="s">
        <v>1105</v>
      </c>
      <c r="B38" s="1091"/>
      <c r="D38" s="145">
        <v>2800000</v>
      </c>
      <c r="E38" s="145"/>
      <c r="F38" s="145"/>
      <c r="G38" s="145"/>
      <c r="H38" s="145">
        <v>2305727</v>
      </c>
      <c r="I38" s="145"/>
      <c r="J38" s="145"/>
      <c r="K38" s="145"/>
      <c r="L38" s="145"/>
      <c r="M38" s="145"/>
    </row>
    <row r="39" spans="1:13" x14ac:dyDescent="0.25">
      <c r="A39" s="1092" t="s">
        <v>940</v>
      </c>
      <c r="B39" s="1093"/>
      <c r="D39" s="145">
        <v>0</v>
      </c>
      <c r="E39" s="145"/>
      <c r="F39" s="145"/>
      <c r="G39" s="145"/>
      <c r="H39" s="145"/>
      <c r="I39" s="145"/>
      <c r="J39" s="145"/>
      <c r="K39" s="145"/>
      <c r="L39" s="145"/>
      <c r="M39" s="145"/>
    </row>
    <row r="40" spans="1:13" x14ac:dyDescent="0.25">
      <c r="A40" s="894" t="s">
        <v>679</v>
      </c>
      <c r="B40" s="894"/>
      <c r="D40" s="316">
        <f t="shared" ref="D40:L40" si="1">SUM(D35:D39)</f>
        <v>7797000</v>
      </c>
      <c r="E40" s="316">
        <f t="shared" si="1"/>
        <v>0</v>
      </c>
      <c r="F40" s="316">
        <f t="shared" si="1"/>
        <v>0</v>
      </c>
      <c r="G40" s="316">
        <f t="shared" si="1"/>
        <v>0</v>
      </c>
      <c r="H40" s="316">
        <f t="shared" si="1"/>
        <v>3005634</v>
      </c>
      <c r="I40" s="316">
        <f t="shared" si="1"/>
        <v>0</v>
      </c>
      <c r="J40" s="316">
        <f t="shared" si="1"/>
        <v>0</v>
      </c>
      <c r="K40" s="316">
        <f t="shared" si="1"/>
        <v>0</v>
      </c>
      <c r="L40" s="316">
        <f t="shared" si="1"/>
        <v>65508</v>
      </c>
      <c r="M40" s="316"/>
    </row>
    <row r="41" spans="1:13" x14ac:dyDescent="0.25">
      <c r="A41" s="124"/>
      <c r="B41" s="124"/>
      <c r="D41" s="145"/>
      <c r="E41" s="145"/>
      <c r="F41" s="145"/>
      <c r="G41" s="145"/>
      <c r="H41" s="145"/>
      <c r="I41" s="145"/>
      <c r="J41" s="145"/>
      <c r="K41" s="145"/>
      <c r="L41" s="145"/>
      <c r="M41" s="145"/>
    </row>
    <row r="42" spans="1:13" x14ac:dyDescent="0.25">
      <c r="A42" s="124" t="s">
        <v>124</v>
      </c>
      <c r="B42" s="124"/>
      <c r="D42" s="145"/>
      <c r="E42" s="145"/>
      <c r="F42" s="145"/>
      <c r="G42" s="145"/>
      <c r="H42" s="145"/>
      <c r="I42" s="145"/>
      <c r="J42" s="145"/>
      <c r="K42" s="145"/>
      <c r="L42" s="145"/>
      <c r="M42" s="145"/>
    </row>
    <row r="43" spans="1:13" x14ac:dyDescent="0.25">
      <c r="A43" s="894" t="s">
        <v>264</v>
      </c>
      <c r="B43" s="894"/>
      <c r="D43" s="145">
        <v>3583000</v>
      </c>
      <c r="E43" s="145">
        <v>174.97</v>
      </c>
      <c r="F43" s="145">
        <v>345748</v>
      </c>
      <c r="G43" s="145">
        <v>6113807.3899999997</v>
      </c>
      <c r="H43" s="145">
        <v>22662577</v>
      </c>
      <c r="I43" s="145">
        <v>8874960.5299999993</v>
      </c>
      <c r="J43" s="145">
        <v>139965141.43000001</v>
      </c>
      <c r="K43" s="145">
        <v>1113003.1599999999</v>
      </c>
      <c r="L43" s="145">
        <v>9053310</v>
      </c>
      <c r="M43" s="145"/>
    </row>
    <row r="44" spans="1:13" x14ac:dyDescent="0.25">
      <c r="A44" s="894" t="s">
        <v>242</v>
      </c>
      <c r="B44" s="894"/>
      <c r="D44" s="145">
        <v>20076000</v>
      </c>
      <c r="E44" s="145"/>
      <c r="F44" s="145"/>
      <c r="G44" s="145"/>
      <c r="H44" s="145">
        <v>1055036</v>
      </c>
      <c r="I44" s="145"/>
      <c r="J44" s="145"/>
      <c r="K44" s="145"/>
      <c r="L44" s="145"/>
      <c r="M44" s="145"/>
    </row>
    <row r="45" spans="1:13" x14ac:dyDescent="0.25">
      <c r="A45" s="848" t="s">
        <v>590</v>
      </c>
      <c r="B45" s="894"/>
      <c r="D45" s="145">
        <v>0</v>
      </c>
      <c r="E45" s="145"/>
      <c r="F45" s="145"/>
      <c r="G45" s="145"/>
      <c r="H45" s="145"/>
      <c r="I45" s="145"/>
      <c r="J45" s="145"/>
      <c r="K45" s="145"/>
      <c r="L45" s="145"/>
      <c r="M45" s="145"/>
    </row>
    <row r="46" spans="1:13" x14ac:dyDescent="0.25">
      <c r="A46" s="848" t="s">
        <v>637</v>
      </c>
      <c r="B46" s="894"/>
      <c r="D46" s="145">
        <v>0</v>
      </c>
      <c r="E46" s="145"/>
      <c r="F46" s="145"/>
      <c r="G46" s="145"/>
      <c r="H46" s="145"/>
      <c r="I46" s="145"/>
      <c r="J46" s="145">
        <v>14258456.76</v>
      </c>
      <c r="K46" s="145"/>
      <c r="L46" s="145"/>
      <c r="M46" s="145"/>
    </row>
    <row r="47" spans="1:13" x14ac:dyDescent="0.25">
      <c r="A47" s="848" t="s">
        <v>632</v>
      </c>
      <c r="B47" s="894"/>
      <c r="D47" s="145">
        <v>28625000</v>
      </c>
      <c r="E47" s="145"/>
      <c r="F47" s="145"/>
      <c r="G47" s="145"/>
      <c r="H47" s="145">
        <v>0</v>
      </c>
      <c r="I47" s="145"/>
      <c r="J47" s="145">
        <v>0</v>
      </c>
      <c r="K47" s="145">
        <v>2052952.84</v>
      </c>
      <c r="L47" s="145"/>
      <c r="M47" s="145"/>
    </row>
    <row r="48" spans="1:13" x14ac:dyDescent="0.25">
      <c r="A48" s="894" t="s">
        <v>296</v>
      </c>
      <c r="B48" s="894"/>
      <c r="D48" s="145">
        <v>21146000</v>
      </c>
      <c r="E48" s="145"/>
      <c r="F48" s="145"/>
      <c r="G48" s="145">
        <v>4067492.86</v>
      </c>
      <c r="H48" s="145">
        <v>23224</v>
      </c>
      <c r="I48" s="145">
        <v>10049893.220000001</v>
      </c>
      <c r="J48" s="145"/>
      <c r="K48" s="145">
        <v>20953</v>
      </c>
      <c r="L48" s="145">
        <v>200138</v>
      </c>
      <c r="M48" s="145"/>
    </row>
    <row r="49" spans="1:13" x14ac:dyDescent="0.25">
      <c r="A49" s="848" t="s">
        <v>376</v>
      </c>
      <c r="B49" s="894"/>
      <c r="D49" s="145">
        <v>0</v>
      </c>
      <c r="E49" s="145"/>
      <c r="F49" s="145"/>
      <c r="G49" s="145"/>
      <c r="H49" s="145"/>
      <c r="I49" s="145"/>
      <c r="J49" s="145"/>
      <c r="K49" s="145"/>
      <c r="L49" s="145"/>
      <c r="M49" s="145"/>
    </row>
    <row r="50" spans="1:13" x14ac:dyDescent="0.25">
      <c r="A50" s="894" t="s">
        <v>135</v>
      </c>
      <c r="B50" s="894"/>
      <c r="D50" s="145">
        <v>0</v>
      </c>
      <c r="E50" s="145"/>
      <c r="F50" s="145"/>
      <c r="G50" s="145"/>
      <c r="H50" s="145"/>
      <c r="I50" s="145"/>
      <c r="J50" s="145"/>
      <c r="K50" s="145"/>
      <c r="L50" s="145"/>
      <c r="M50" s="145"/>
    </row>
    <row r="51" spans="1:13" x14ac:dyDescent="0.25">
      <c r="A51" s="894" t="s">
        <v>243</v>
      </c>
      <c r="B51" s="894"/>
      <c r="D51" s="145">
        <v>3716000</v>
      </c>
      <c r="E51" s="145"/>
      <c r="F51" s="145"/>
      <c r="G51" s="145"/>
      <c r="H51" s="145"/>
      <c r="I51" s="145">
        <v>57859.26</v>
      </c>
      <c r="J51" s="145"/>
      <c r="K51" s="145"/>
      <c r="L51" s="145"/>
      <c r="M51" s="145"/>
    </row>
    <row r="52" spans="1:13" x14ac:dyDescent="0.25">
      <c r="A52" s="894" t="s">
        <v>132</v>
      </c>
      <c r="B52" s="894"/>
      <c r="D52" s="145">
        <v>0</v>
      </c>
      <c r="E52" s="145"/>
      <c r="F52" s="145"/>
      <c r="G52" s="145"/>
      <c r="H52" s="145">
        <v>3518636274</v>
      </c>
      <c r="I52" s="145"/>
      <c r="J52" s="145"/>
      <c r="K52" s="145"/>
      <c r="L52" s="145"/>
      <c r="M52" s="145"/>
    </row>
    <row r="53" spans="1:13" x14ac:dyDescent="0.25">
      <c r="A53" s="848" t="s">
        <v>625</v>
      </c>
      <c r="B53" s="894"/>
      <c r="D53" s="145">
        <v>1850000</v>
      </c>
      <c r="E53" s="145"/>
      <c r="F53" s="145"/>
      <c r="G53" s="145"/>
      <c r="H53" s="145"/>
      <c r="I53" s="145"/>
      <c r="J53" s="145"/>
      <c r="K53" s="145"/>
      <c r="L53" s="145"/>
      <c r="M53" s="145"/>
    </row>
    <row r="54" spans="1:13" s="791" customFormat="1" x14ac:dyDescent="0.25">
      <c r="A54" s="862" t="s">
        <v>1428</v>
      </c>
      <c r="B54" s="896"/>
      <c r="D54" s="145"/>
      <c r="E54" s="145"/>
      <c r="F54" s="145"/>
      <c r="G54" s="145"/>
      <c r="H54" s="145"/>
      <c r="I54" s="145"/>
      <c r="J54" s="145"/>
      <c r="K54" s="145"/>
      <c r="L54" s="145"/>
      <c r="M54" s="145"/>
    </row>
    <row r="55" spans="1:13" x14ac:dyDescent="0.25">
      <c r="A55" s="894" t="s">
        <v>284</v>
      </c>
      <c r="B55" s="894"/>
      <c r="D55" s="145"/>
      <c r="E55" s="145"/>
      <c r="F55" s="145"/>
      <c r="G55" s="145"/>
      <c r="H55" s="145"/>
      <c r="I55" s="145"/>
      <c r="J55" s="145"/>
      <c r="K55" s="145"/>
      <c r="L55" s="145"/>
      <c r="M55" s="145"/>
    </row>
    <row r="56" spans="1:13" x14ac:dyDescent="0.25">
      <c r="A56" s="893" t="s">
        <v>283</v>
      </c>
      <c r="B56" s="893"/>
      <c r="D56" s="145">
        <v>43501000</v>
      </c>
      <c r="E56" s="145"/>
      <c r="F56" s="145">
        <v>3552</v>
      </c>
      <c r="G56" s="145">
        <v>39797.550000000003</v>
      </c>
      <c r="H56" s="145">
        <v>75466016</v>
      </c>
      <c r="I56" s="145"/>
      <c r="J56" s="145">
        <v>30388.65</v>
      </c>
      <c r="K56" s="145">
        <v>412381</v>
      </c>
      <c r="L56" s="145">
        <v>0</v>
      </c>
      <c r="M56" s="145"/>
    </row>
    <row r="57" spans="1:13" x14ac:dyDescent="0.25">
      <c r="A57" s="893" t="s">
        <v>285</v>
      </c>
      <c r="B57" s="893"/>
      <c r="D57" s="145">
        <v>1461934000</v>
      </c>
      <c r="E57" s="145"/>
      <c r="F57" s="145">
        <v>0</v>
      </c>
      <c r="G57" s="145">
        <v>134957.22</v>
      </c>
      <c r="H57" s="145">
        <v>735900085</v>
      </c>
      <c r="I57" s="145"/>
      <c r="J57" s="145">
        <v>9804.8799999999992</v>
      </c>
      <c r="K57" s="145">
        <v>125647</v>
      </c>
      <c r="L57" s="145">
        <v>118638</v>
      </c>
      <c r="M57" s="145"/>
    </row>
    <row r="58" spans="1:13" x14ac:dyDescent="0.25">
      <c r="A58" s="894" t="s">
        <v>367</v>
      </c>
      <c r="B58" s="894"/>
      <c r="D58" s="316">
        <f t="shared" ref="D58:J58" si="2">SUM(D43:D57)</f>
        <v>1584431000</v>
      </c>
      <c r="E58" s="316">
        <f t="shared" si="2"/>
        <v>174.97</v>
      </c>
      <c r="F58" s="316">
        <f t="shared" si="2"/>
        <v>349300</v>
      </c>
      <c r="G58" s="316">
        <f t="shared" si="2"/>
        <v>10356055.02</v>
      </c>
      <c r="H58" s="316">
        <f t="shared" si="2"/>
        <v>4353743212</v>
      </c>
      <c r="I58" s="316">
        <f t="shared" si="2"/>
        <v>18982713.010000002</v>
      </c>
      <c r="J58" s="316">
        <f t="shared" si="2"/>
        <v>154263791.72</v>
      </c>
      <c r="K58" s="316">
        <f>SUM(K43:K57)</f>
        <v>3724937</v>
      </c>
      <c r="L58" s="316">
        <f>SUM(L43:L57)</f>
        <v>9372086</v>
      </c>
      <c r="M58" s="316"/>
    </row>
    <row r="59" spans="1:13" x14ac:dyDescent="0.25">
      <c r="A59" s="129"/>
      <c r="B59" s="129"/>
      <c r="D59" s="145"/>
      <c r="E59" s="145"/>
      <c r="F59" s="145"/>
      <c r="G59" s="145"/>
      <c r="H59" s="145"/>
      <c r="I59" s="145"/>
      <c r="J59" s="145"/>
      <c r="K59" s="145"/>
      <c r="L59" s="145"/>
      <c r="M59" s="145"/>
    </row>
    <row r="60" spans="1:13" x14ac:dyDescent="0.25">
      <c r="A60" s="124" t="s">
        <v>680</v>
      </c>
      <c r="B60" s="124"/>
      <c r="D60" s="145"/>
      <c r="E60" s="145"/>
      <c r="F60" s="145"/>
      <c r="G60" s="145"/>
      <c r="H60" s="145"/>
      <c r="I60" s="145"/>
      <c r="J60" s="145"/>
      <c r="K60" s="145"/>
      <c r="L60" s="145"/>
      <c r="M60" s="145"/>
    </row>
    <row r="61" spans="1:13" x14ac:dyDescent="0.25">
      <c r="A61" s="848" t="s">
        <v>681</v>
      </c>
      <c r="B61" s="894"/>
      <c r="D61" s="145">
        <v>0</v>
      </c>
      <c r="E61" s="145"/>
      <c r="F61" s="145"/>
      <c r="G61" s="145"/>
      <c r="H61" s="145"/>
      <c r="I61" s="145"/>
      <c r="J61" s="145"/>
      <c r="K61" s="145"/>
      <c r="L61" s="145"/>
      <c r="M61" s="145"/>
    </row>
    <row r="62" spans="1:13" x14ac:dyDescent="0.25">
      <c r="A62" s="848" t="s">
        <v>696</v>
      </c>
      <c r="B62" s="894"/>
      <c r="D62" s="145">
        <v>0</v>
      </c>
      <c r="E62" s="145"/>
      <c r="F62" s="145"/>
      <c r="G62" s="145"/>
      <c r="H62" s="145"/>
      <c r="I62" s="145"/>
      <c r="J62" s="145"/>
      <c r="K62" s="145"/>
      <c r="L62" s="145"/>
      <c r="M62" s="145"/>
    </row>
    <row r="63" spans="1:13" x14ac:dyDescent="0.25">
      <c r="A63" s="848" t="s">
        <v>777</v>
      </c>
      <c r="B63" s="894"/>
      <c r="D63" s="145">
        <v>0</v>
      </c>
      <c r="E63" s="145"/>
      <c r="F63" s="145"/>
      <c r="G63" s="145"/>
      <c r="H63" s="145"/>
      <c r="I63" s="145"/>
      <c r="J63" s="145"/>
      <c r="K63" s="145"/>
      <c r="L63" s="145"/>
      <c r="M63" s="145"/>
    </row>
    <row r="64" spans="1:13" x14ac:dyDescent="0.25">
      <c r="A64" s="848" t="s">
        <v>923</v>
      </c>
      <c r="B64" s="894"/>
      <c r="D64" s="145">
        <v>0</v>
      </c>
      <c r="E64" s="145"/>
      <c r="F64" s="145"/>
      <c r="G64" s="145"/>
      <c r="H64" s="145"/>
      <c r="I64" s="145"/>
      <c r="J64" s="145"/>
      <c r="K64" s="145"/>
      <c r="L64" s="145"/>
      <c r="M64" s="145"/>
    </row>
    <row r="65" spans="1:13" x14ac:dyDescent="0.25">
      <c r="A65" s="1092" t="s">
        <v>924</v>
      </c>
      <c r="B65" s="1093"/>
      <c r="D65" s="145">
        <v>0</v>
      </c>
      <c r="E65" s="145"/>
      <c r="F65" s="145"/>
      <c r="G65" s="145"/>
      <c r="H65" s="145">
        <v>125930498</v>
      </c>
      <c r="I65" s="145"/>
      <c r="J65" s="145"/>
      <c r="K65" s="145"/>
      <c r="L65" s="145"/>
      <c r="M65" s="145"/>
    </row>
    <row r="66" spans="1:13" x14ac:dyDescent="0.25">
      <c r="A66" s="863" t="s">
        <v>1112</v>
      </c>
      <c r="B66" s="1091"/>
      <c r="D66" s="145"/>
      <c r="E66" s="145"/>
      <c r="F66" s="145"/>
      <c r="G66" s="145"/>
      <c r="H66" s="145"/>
      <c r="I66" s="145"/>
      <c r="J66" s="145"/>
      <c r="K66" s="145"/>
      <c r="L66" s="145"/>
      <c r="M66" s="145"/>
    </row>
    <row r="67" spans="1:13" x14ac:dyDescent="0.25">
      <c r="A67" s="1089" t="s">
        <v>947</v>
      </c>
      <c r="B67" s="1090"/>
      <c r="D67" s="145">
        <v>0</v>
      </c>
      <c r="E67" s="145"/>
      <c r="F67" s="145"/>
      <c r="G67" s="145"/>
      <c r="H67" s="145">
        <v>33385</v>
      </c>
      <c r="I67" s="145"/>
      <c r="J67" s="145"/>
      <c r="K67" s="145"/>
      <c r="L67" s="145">
        <v>6905</v>
      </c>
      <c r="M67" s="145"/>
    </row>
    <row r="68" spans="1:13" x14ac:dyDescent="0.25">
      <c r="A68" s="863" t="s">
        <v>1108</v>
      </c>
      <c r="B68" s="1091"/>
      <c r="D68" s="145">
        <v>5945000</v>
      </c>
      <c r="E68" s="145"/>
      <c r="F68" s="145"/>
      <c r="G68" s="145"/>
      <c r="H68" s="145">
        <v>1956436</v>
      </c>
      <c r="I68" s="145"/>
      <c r="J68" s="145"/>
      <c r="K68" s="145"/>
      <c r="L68" s="145"/>
      <c r="M68" s="145"/>
    </row>
    <row r="69" spans="1:13" s="784" customFormat="1" x14ac:dyDescent="0.25">
      <c r="A69" s="862" t="s">
        <v>1417</v>
      </c>
      <c r="B69" s="896"/>
      <c r="D69" s="145"/>
      <c r="E69" s="145"/>
      <c r="F69" s="145"/>
      <c r="G69" s="145"/>
      <c r="H69" s="145"/>
      <c r="I69" s="145"/>
      <c r="J69" s="145"/>
      <c r="K69" s="145"/>
      <c r="L69" s="145"/>
      <c r="M69" s="145"/>
    </row>
    <row r="70" spans="1:13" x14ac:dyDescent="0.25">
      <c r="A70" s="1092" t="s">
        <v>941</v>
      </c>
      <c r="B70" s="1093"/>
      <c r="D70" s="145">
        <v>0</v>
      </c>
      <c r="E70" s="145"/>
      <c r="F70" s="145"/>
      <c r="G70" s="145"/>
      <c r="H70" s="145"/>
      <c r="I70" s="145"/>
      <c r="J70" s="145"/>
      <c r="K70" s="145"/>
      <c r="L70" s="145"/>
      <c r="M70" s="145"/>
    </row>
    <row r="71" spans="1:13" x14ac:dyDescent="0.25">
      <c r="A71" s="848" t="s">
        <v>700</v>
      </c>
      <c r="B71" s="894"/>
      <c r="D71" s="316">
        <f t="shared" ref="D71:L71" si="3">SUM(D61:D70)</f>
        <v>5945000</v>
      </c>
      <c r="E71" s="316">
        <f t="shared" si="3"/>
        <v>0</v>
      </c>
      <c r="F71" s="316">
        <f t="shared" si="3"/>
        <v>0</v>
      </c>
      <c r="G71" s="316">
        <f t="shared" si="3"/>
        <v>0</v>
      </c>
      <c r="H71" s="316">
        <f t="shared" si="3"/>
        <v>127920319</v>
      </c>
      <c r="I71" s="316">
        <f t="shared" si="3"/>
        <v>0</v>
      </c>
      <c r="J71" s="316">
        <f t="shared" si="3"/>
        <v>0</v>
      </c>
      <c r="K71" s="316">
        <f t="shared" si="3"/>
        <v>0</v>
      </c>
      <c r="L71" s="316">
        <f t="shared" si="3"/>
        <v>6905</v>
      </c>
      <c r="M71" s="316"/>
    </row>
    <row r="72" spans="1:13" x14ac:dyDescent="0.25">
      <c r="A72" s="129"/>
      <c r="B72" s="129"/>
      <c r="D72" s="145"/>
      <c r="E72" s="145"/>
      <c r="F72" s="145"/>
      <c r="G72" s="145"/>
      <c r="H72" s="145"/>
      <c r="I72" s="145"/>
      <c r="J72" s="145"/>
      <c r="K72" s="145"/>
      <c r="L72" s="145"/>
      <c r="M72" s="145"/>
    </row>
    <row r="73" spans="1:13" x14ac:dyDescent="0.25">
      <c r="A73" s="125" t="s">
        <v>674</v>
      </c>
      <c r="D73" s="145"/>
      <c r="E73" s="145"/>
      <c r="F73" s="145"/>
      <c r="G73" s="145"/>
      <c r="H73" s="145"/>
      <c r="I73" s="145"/>
      <c r="J73" s="145"/>
      <c r="K73" s="145"/>
      <c r="L73" s="145"/>
      <c r="M73" s="145"/>
    </row>
    <row r="74" spans="1:13" x14ac:dyDescent="0.25">
      <c r="A74" s="848" t="s">
        <v>730</v>
      </c>
      <c r="B74" s="894"/>
      <c r="D74" s="145">
        <v>2399000</v>
      </c>
      <c r="E74" s="145">
        <v>3206250.55</v>
      </c>
      <c r="F74" s="145">
        <v>7979585</v>
      </c>
      <c r="G74" s="145">
        <v>10514.99</v>
      </c>
      <c r="H74" s="145">
        <v>2087899</v>
      </c>
      <c r="I74" s="145">
        <v>253565587.41</v>
      </c>
      <c r="J74" s="145">
        <v>3136106.21</v>
      </c>
      <c r="K74" s="145"/>
      <c r="L74" s="145">
        <v>95645941</v>
      </c>
      <c r="M74" s="145"/>
    </row>
    <row r="75" spans="1:13" x14ac:dyDescent="0.25">
      <c r="A75" s="9" t="s">
        <v>262</v>
      </c>
      <c r="B75" s="9"/>
      <c r="D75" s="145"/>
      <c r="E75" s="145"/>
      <c r="F75" s="145"/>
      <c r="G75" s="145"/>
      <c r="H75" s="145"/>
      <c r="I75" s="145"/>
      <c r="J75" s="145"/>
      <c r="K75" s="145"/>
      <c r="L75" s="145"/>
      <c r="M75" s="145"/>
    </row>
    <row r="76" spans="1:13" x14ac:dyDescent="0.25">
      <c r="A76" s="850" t="s">
        <v>377</v>
      </c>
      <c r="B76" s="866"/>
      <c r="D76" s="145">
        <v>0</v>
      </c>
      <c r="E76" s="145"/>
      <c r="F76" s="145"/>
      <c r="G76" s="145"/>
      <c r="H76" s="145">
        <v>531752171</v>
      </c>
      <c r="I76" s="145"/>
      <c r="J76" s="145"/>
      <c r="K76" s="145"/>
      <c r="L76" s="145"/>
      <c r="M76" s="145"/>
    </row>
    <row r="77" spans="1:13" x14ac:dyDescent="0.25">
      <c r="A77" s="850" t="s">
        <v>192</v>
      </c>
      <c r="B77" s="866"/>
      <c r="D77" s="145">
        <v>0</v>
      </c>
      <c r="E77" s="145"/>
      <c r="F77" s="145"/>
      <c r="G77" s="145">
        <v>74942.3</v>
      </c>
      <c r="H77" s="145"/>
      <c r="I77" s="145"/>
      <c r="J77" s="145">
        <v>0</v>
      </c>
      <c r="K77" s="145"/>
      <c r="L77" s="145"/>
      <c r="M77" s="145"/>
    </row>
    <row r="78" spans="1:13" x14ac:dyDescent="0.25">
      <c r="A78" s="850" t="s">
        <v>350</v>
      </c>
      <c r="B78" s="866"/>
      <c r="D78" s="145">
        <v>875081000</v>
      </c>
      <c r="E78" s="145"/>
      <c r="F78" s="145">
        <v>700796</v>
      </c>
      <c r="G78" s="145"/>
      <c r="H78" s="145"/>
      <c r="I78" s="145">
        <v>108457061.78</v>
      </c>
      <c r="J78" s="145">
        <v>1074542.0900000001</v>
      </c>
      <c r="K78" s="145"/>
      <c r="L78" s="145">
        <v>23979587</v>
      </c>
      <c r="M78" s="145"/>
    </row>
    <row r="79" spans="1:13" x14ac:dyDescent="0.25">
      <c r="A79" s="894" t="s">
        <v>246</v>
      </c>
      <c r="B79" s="894"/>
      <c r="D79" s="145">
        <v>19770000</v>
      </c>
      <c r="E79" s="145">
        <v>5937977.46</v>
      </c>
      <c r="F79" s="145">
        <v>27410807</v>
      </c>
      <c r="G79" s="145">
        <v>1536521.98</v>
      </c>
      <c r="H79" s="145">
        <v>106610955</v>
      </c>
      <c r="I79" s="145">
        <v>4477233.43</v>
      </c>
      <c r="J79" s="145">
        <v>1213745965.9100001</v>
      </c>
      <c r="K79" s="145">
        <v>4872913</v>
      </c>
      <c r="L79" s="145">
        <v>5913222</v>
      </c>
      <c r="M79" s="145"/>
    </row>
    <row r="80" spans="1:13" ht="13.8" thickBot="1" x14ac:dyDescent="0.3">
      <c r="A80" s="848" t="s">
        <v>676</v>
      </c>
      <c r="B80" s="894"/>
      <c r="D80" s="321">
        <f t="shared" ref="D80:L80" si="4">SUM(D74:D79)</f>
        <v>897250000</v>
      </c>
      <c r="E80" s="321">
        <f t="shared" si="4"/>
        <v>9144228.0099999998</v>
      </c>
      <c r="F80" s="321">
        <f t="shared" si="4"/>
        <v>36091188</v>
      </c>
      <c r="G80" s="321">
        <f t="shared" si="4"/>
        <v>1621979.27</v>
      </c>
      <c r="H80" s="321">
        <f t="shared" si="4"/>
        <v>640451025</v>
      </c>
      <c r="I80" s="321">
        <f t="shared" si="4"/>
        <v>366499882.62</v>
      </c>
      <c r="J80" s="321">
        <f t="shared" si="4"/>
        <v>1217956614.21</v>
      </c>
      <c r="K80" s="321">
        <f t="shared" si="4"/>
        <v>4872913</v>
      </c>
      <c r="L80" s="321">
        <f t="shared" si="4"/>
        <v>125538750</v>
      </c>
      <c r="M80" s="321"/>
    </row>
    <row r="81" spans="1:13" ht="13.8" thickTop="1" x14ac:dyDescent="0.25">
      <c r="A81" s="129"/>
      <c r="B81" s="129"/>
      <c r="D81" s="145"/>
      <c r="E81" s="145"/>
      <c r="F81" s="145"/>
      <c r="G81" s="145"/>
      <c r="H81" s="145"/>
      <c r="I81" s="145"/>
      <c r="J81" s="145"/>
      <c r="K81" s="145"/>
      <c r="L81" s="145"/>
      <c r="M81" s="145"/>
    </row>
    <row r="82" spans="1:13" ht="13.8" x14ac:dyDescent="0.3">
      <c r="A82" s="134" t="s">
        <v>675</v>
      </c>
      <c r="B82" s="134"/>
      <c r="D82" s="248" t="str">
        <f>IF(D32+D40-D58-D71=D80,"In Bal.","NOT BALANCED")</f>
        <v>In Bal.</v>
      </c>
      <c r="E82" s="248" t="str">
        <f>IF(E32+E40-E58-E71=E80,"In Bal.","NOT BALANCED")</f>
        <v>In Bal.</v>
      </c>
      <c r="F82" s="248" t="str">
        <f>IF(F32+F40-F58-F71=F80,"In Bal.","NOT BALANCED")</f>
        <v>In Bal.</v>
      </c>
      <c r="G82" s="248" t="str">
        <f>IF(ROUND((G32+G40-G58-G71),2)=G80,"In Bal.","NOT BALANCED")</f>
        <v>In Bal.</v>
      </c>
      <c r="H82" s="248" t="str">
        <f>IF(ROUND((H32+H40-H58-H71),2)=H80,"In Bal.","NOT BALANCED")</f>
        <v>In Bal.</v>
      </c>
      <c r="I82" s="248" t="str">
        <f>IF(I32+I40-I58-I71=I80,"In Bal.","NOT BALANCED")</f>
        <v>In Bal.</v>
      </c>
      <c r="J82" s="248" t="str">
        <f>IF(J32+J40-J58-J71=J80,"In Bal.","NOT BALANCED")</f>
        <v>In Bal.</v>
      </c>
      <c r="K82" s="248" t="str">
        <f>IF(K32+K40-K58-K71=K80,"In Bal.","NOT BALANCED")</f>
        <v>In Bal.</v>
      </c>
      <c r="L82" s="248" t="str">
        <f>IF(L32+L40-L58-L71=L80,"In Bal.","NOT BALANCED")</f>
        <v>In Bal.</v>
      </c>
      <c r="M82" s="248"/>
    </row>
    <row r="83" spans="1:13" x14ac:dyDescent="0.25">
      <c r="A83" s="134" t="s">
        <v>723</v>
      </c>
      <c r="B83" s="134"/>
      <c r="D83" s="145"/>
      <c r="E83" s="145"/>
      <c r="F83" s="145"/>
      <c r="G83" s="145"/>
      <c r="H83" s="487"/>
      <c r="I83" s="145"/>
      <c r="J83" s="145"/>
      <c r="K83" s="145"/>
      <c r="L83" s="145"/>
      <c r="M83" s="145"/>
    </row>
    <row r="84" spans="1:13" x14ac:dyDescent="0.25">
      <c r="A84" s="134"/>
      <c r="B84" s="134"/>
      <c r="D84" s="145"/>
      <c r="E84" s="145"/>
      <c r="F84" s="145"/>
      <c r="G84" s="145"/>
      <c r="H84" s="145"/>
      <c r="I84" s="145"/>
      <c r="J84" s="145"/>
      <c r="K84" s="145"/>
      <c r="L84" s="145"/>
      <c r="M84" s="145"/>
    </row>
    <row r="85" spans="1:13" x14ac:dyDescent="0.25">
      <c r="A85" s="147"/>
      <c r="B85" s="147"/>
      <c r="D85" s="145"/>
      <c r="E85" s="145"/>
      <c r="F85" s="145"/>
      <c r="G85" s="145"/>
      <c r="H85" s="145"/>
      <c r="I85" s="145"/>
      <c r="J85" s="145"/>
      <c r="K85" s="145"/>
      <c r="L85" s="145"/>
      <c r="M85" s="145"/>
    </row>
    <row r="86" spans="1:13" x14ac:dyDescent="0.25">
      <c r="A86" s="135" t="s">
        <v>369</v>
      </c>
      <c r="B86" s="135"/>
      <c r="D86" s="145"/>
      <c r="E86" s="145"/>
      <c r="F86" s="145"/>
      <c r="G86" s="145"/>
      <c r="H86" s="145"/>
      <c r="I86" s="145"/>
      <c r="J86" s="145"/>
      <c r="K86" s="145"/>
      <c r="L86" s="145"/>
      <c r="M86" s="145"/>
    </row>
    <row r="87" spans="1:13" x14ac:dyDescent="0.25">
      <c r="A87" s="894" t="s">
        <v>351</v>
      </c>
      <c r="B87" s="894"/>
      <c r="D87" s="337">
        <v>312891000</v>
      </c>
      <c r="E87" s="337">
        <v>306021.48</v>
      </c>
      <c r="F87" s="337">
        <v>186659</v>
      </c>
      <c r="G87" s="337">
        <v>0</v>
      </c>
      <c r="H87" s="337">
        <v>46134269</v>
      </c>
      <c r="I87" s="337">
        <v>22862080.609999999</v>
      </c>
      <c r="J87" s="337">
        <v>257701.24</v>
      </c>
      <c r="K87" s="337">
        <v>340544</v>
      </c>
      <c r="L87" s="337">
        <v>2295444</v>
      </c>
      <c r="M87" s="337"/>
    </row>
    <row r="88" spans="1:13" x14ac:dyDescent="0.25">
      <c r="A88" s="874" t="s">
        <v>617</v>
      </c>
      <c r="B88" s="874"/>
      <c r="D88" s="145">
        <v>38418000</v>
      </c>
      <c r="E88" s="145"/>
      <c r="F88" s="145"/>
      <c r="G88" s="145">
        <v>90383456.129999995</v>
      </c>
      <c r="H88" s="145">
        <v>78481975</v>
      </c>
      <c r="I88" s="145"/>
      <c r="J88" s="145"/>
      <c r="K88" s="145"/>
      <c r="L88" s="145"/>
      <c r="M88" s="145"/>
    </row>
    <row r="89" spans="1:13" s="711" customFormat="1" x14ac:dyDescent="0.25">
      <c r="A89" s="874" t="s">
        <v>1212</v>
      </c>
      <c r="B89" s="874"/>
      <c r="D89" s="145"/>
      <c r="E89" s="145"/>
      <c r="F89" s="145"/>
      <c r="G89" s="145"/>
      <c r="H89" s="145"/>
      <c r="I89" s="145"/>
      <c r="J89" s="145">
        <v>77952392.469999999</v>
      </c>
      <c r="K89" s="145">
        <v>17736290</v>
      </c>
      <c r="L89" s="145"/>
      <c r="M89" s="145"/>
    </row>
    <row r="90" spans="1:13" x14ac:dyDescent="0.25">
      <c r="A90" s="894" t="s">
        <v>352</v>
      </c>
      <c r="B90" s="894"/>
      <c r="D90" s="145">
        <v>44018000</v>
      </c>
      <c r="E90" s="145">
        <v>0</v>
      </c>
      <c r="F90" s="145"/>
      <c r="G90" s="145">
        <v>13850370.34</v>
      </c>
      <c r="H90" s="145">
        <v>177897882</v>
      </c>
      <c r="I90" s="145">
        <v>0</v>
      </c>
      <c r="J90" s="145">
        <v>4049.66</v>
      </c>
      <c r="K90" s="145">
        <v>1877601</v>
      </c>
      <c r="L90" s="145">
        <v>11714185</v>
      </c>
      <c r="M90" s="145"/>
    </row>
    <row r="91" spans="1:13" s="711" customFormat="1" x14ac:dyDescent="0.25">
      <c r="A91" s="874" t="s">
        <v>1224</v>
      </c>
      <c r="B91" s="874"/>
      <c r="D91" s="145"/>
      <c r="E91" s="145"/>
      <c r="F91" s="145"/>
      <c r="G91" s="145"/>
      <c r="H91" s="145"/>
      <c r="I91" s="145"/>
      <c r="J91" s="145"/>
      <c r="K91" s="145">
        <v>1098600</v>
      </c>
      <c r="L91" s="145"/>
      <c r="M91" s="145"/>
    </row>
    <row r="92" spans="1:13" x14ac:dyDescent="0.25">
      <c r="A92" s="874" t="s">
        <v>326</v>
      </c>
      <c r="B92" s="874"/>
      <c r="C92" s="331"/>
      <c r="D92" s="145"/>
      <c r="E92" s="145"/>
      <c r="F92" s="145"/>
      <c r="G92" s="145"/>
      <c r="H92" s="145"/>
      <c r="I92" s="145">
        <v>0</v>
      </c>
      <c r="J92" s="145"/>
      <c r="K92" s="145"/>
      <c r="L92" s="145"/>
      <c r="M92" s="145"/>
    </row>
    <row r="93" spans="1:13" x14ac:dyDescent="0.25">
      <c r="A93" s="894" t="s">
        <v>353</v>
      </c>
      <c r="B93" s="894"/>
      <c r="D93" s="145"/>
      <c r="E93" s="145"/>
      <c r="F93" s="145"/>
      <c r="G93" s="145"/>
      <c r="H93" s="145"/>
      <c r="I93" s="145"/>
      <c r="J93" s="145"/>
      <c r="K93" s="145"/>
      <c r="L93" s="145">
        <v>2572611</v>
      </c>
      <c r="M93" s="145"/>
    </row>
    <row r="94" spans="1:13" x14ac:dyDescent="0.25">
      <c r="A94" s="874" t="s">
        <v>1050</v>
      </c>
      <c r="B94" s="874"/>
      <c r="C94" s="331"/>
      <c r="D94" s="145"/>
      <c r="E94" s="145">
        <v>271651.95</v>
      </c>
      <c r="F94" s="145">
        <v>1342421</v>
      </c>
      <c r="G94" s="145">
        <v>1649.26</v>
      </c>
      <c r="H94" s="145">
        <v>23606031</v>
      </c>
      <c r="I94" s="145">
        <v>11883280.59</v>
      </c>
      <c r="J94" s="145">
        <v>279409531.93000001</v>
      </c>
      <c r="K94" s="145"/>
      <c r="L94" s="145">
        <v>118946</v>
      </c>
      <c r="M94" s="145"/>
    </row>
    <row r="95" spans="1:13" x14ac:dyDescent="0.25">
      <c r="A95" s="874" t="s">
        <v>618</v>
      </c>
      <c r="B95" s="874"/>
      <c r="C95" s="331"/>
      <c r="D95" s="145">
        <v>30660000</v>
      </c>
      <c r="E95" s="145"/>
      <c r="F95" s="145">
        <v>13600338</v>
      </c>
      <c r="G95" s="145">
        <v>5539193</v>
      </c>
      <c r="H95" s="145"/>
      <c r="I95" s="145"/>
      <c r="J95" s="145">
        <v>17500000</v>
      </c>
      <c r="K95" s="145">
        <v>18835966</v>
      </c>
      <c r="L95" s="145"/>
      <c r="M95" s="145"/>
    </row>
    <row r="96" spans="1:13" s="769" customFormat="1" x14ac:dyDescent="0.25">
      <c r="A96" s="874" t="s">
        <v>1351</v>
      </c>
      <c r="B96" s="874"/>
      <c r="C96" s="331"/>
      <c r="D96" s="145">
        <v>228000</v>
      </c>
      <c r="E96" s="145"/>
      <c r="F96" s="145"/>
      <c r="G96" s="145"/>
      <c r="H96" s="145">
        <v>797350</v>
      </c>
      <c r="I96" s="145"/>
      <c r="J96" s="145"/>
      <c r="K96" s="145"/>
      <c r="L96" s="145"/>
      <c r="M96" s="145"/>
    </row>
    <row r="97" spans="1:13" s="789" customFormat="1" x14ac:dyDescent="0.25">
      <c r="A97" s="1086" t="s">
        <v>1421</v>
      </c>
      <c r="B97" s="1086"/>
      <c r="C97" s="331"/>
      <c r="D97" s="145"/>
      <c r="E97" s="145"/>
      <c r="F97" s="145"/>
      <c r="G97" s="145"/>
      <c r="H97" s="145"/>
      <c r="I97" s="145"/>
      <c r="J97" s="145"/>
      <c r="K97" s="145"/>
      <c r="L97" s="145"/>
      <c r="M97" s="145"/>
    </row>
    <row r="98" spans="1:13" x14ac:dyDescent="0.25">
      <c r="A98" s="894" t="s">
        <v>355</v>
      </c>
      <c r="B98" s="894"/>
      <c r="D98" s="145">
        <v>0</v>
      </c>
      <c r="E98" s="145">
        <v>0</v>
      </c>
      <c r="F98" s="145">
        <v>1311923</v>
      </c>
      <c r="G98" s="145">
        <v>69151.12</v>
      </c>
      <c r="H98" s="145"/>
      <c r="I98" s="145">
        <v>854017.67</v>
      </c>
      <c r="J98" s="145">
        <v>0</v>
      </c>
      <c r="K98" s="145">
        <v>0</v>
      </c>
      <c r="L98" s="145">
        <v>0</v>
      </c>
      <c r="M98" s="145"/>
    </row>
    <row r="99" spans="1:13" x14ac:dyDescent="0.25">
      <c r="A99" s="894" t="s">
        <v>152</v>
      </c>
      <c r="B99" s="894"/>
      <c r="D99" s="316">
        <f t="shared" ref="D99:L99" si="5">SUM(D87:D98)</f>
        <v>426215000</v>
      </c>
      <c r="E99" s="316">
        <f t="shared" si="5"/>
        <v>577673.43000000005</v>
      </c>
      <c r="F99" s="316">
        <f t="shared" si="5"/>
        <v>16441341</v>
      </c>
      <c r="G99" s="316">
        <f t="shared" si="5"/>
        <v>109843819.84999999</v>
      </c>
      <c r="H99" s="316">
        <f t="shared" si="5"/>
        <v>326917507</v>
      </c>
      <c r="I99" s="316">
        <f t="shared" si="5"/>
        <v>35599378.869999997</v>
      </c>
      <c r="J99" s="316">
        <f t="shared" si="5"/>
        <v>375123675.30000001</v>
      </c>
      <c r="K99" s="316">
        <f t="shared" si="5"/>
        <v>39889001</v>
      </c>
      <c r="L99" s="316">
        <f t="shared" si="5"/>
        <v>16701186</v>
      </c>
      <c r="M99" s="316"/>
    </row>
    <row r="100" spans="1:13" ht="11.25" customHeight="1" x14ac:dyDescent="0.25">
      <c r="A100" s="129"/>
      <c r="B100" s="129"/>
      <c r="D100" s="181"/>
      <c r="E100" s="181"/>
      <c r="F100" s="181"/>
      <c r="G100" s="181"/>
      <c r="H100" s="181"/>
      <c r="I100" s="181"/>
      <c r="J100" s="181"/>
      <c r="K100" s="181"/>
      <c r="L100" s="181"/>
      <c r="M100" s="181"/>
    </row>
    <row r="101" spans="1:13" x14ac:dyDescent="0.25">
      <c r="A101" s="135" t="s">
        <v>370</v>
      </c>
      <c r="B101" s="135"/>
      <c r="D101" s="145"/>
      <c r="E101" s="145"/>
      <c r="F101" s="145"/>
      <c r="G101" s="145"/>
      <c r="H101" s="145"/>
      <c r="I101" s="145"/>
      <c r="J101" s="145"/>
      <c r="K101" s="145"/>
      <c r="L101" s="145"/>
      <c r="M101" s="145"/>
    </row>
    <row r="102" spans="1:13" x14ac:dyDescent="0.25">
      <c r="A102" s="894" t="s">
        <v>253</v>
      </c>
      <c r="B102" s="894"/>
      <c r="D102" s="368">
        <v>368842000</v>
      </c>
      <c r="E102" s="368">
        <v>1266085.58</v>
      </c>
      <c r="F102" s="368">
        <v>16539413</v>
      </c>
      <c r="G102" s="145">
        <v>109462386.38</v>
      </c>
      <c r="H102" s="368">
        <v>303132014</v>
      </c>
      <c r="I102" s="145">
        <v>41273328.25</v>
      </c>
      <c r="J102" s="145">
        <v>133678605.98</v>
      </c>
      <c r="K102" s="145">
        <v>38530372</v>
      </c>
      <c r="L102" s="145">
        <v>17776900</v>
      </c>
      <c r="M102" s="145"/>
    </row>
    <row r="103" spans="1:13" x14ac:dyDescent="0.25">
      <c r="A103" s="894"/>
      <c r="B103" s="894"/>
      <c r="D103" s="368"/>
      <c r="E103" s="368"/>
      <c r="F103" s="368"/>
      <c r="G103" s="250"/>
      <c r="H103" s="250"/>
      <c r="I103" s="250"/>
      <c r="J103" s="250"/>
      <c r="K103" s="250"/>
      <c r="L103" s="250"/>
      <c r="M103" s="250"/>
    </row>
    <row r="104" spans="1:13" x14ac:dyDescent="0.25">
      <c r="A104" s="894" t="s">
        <v>164</v>
      </c>
      <c r="B104" s="894"/>
      <c r="D104" s="368"/>
      <c r="E104" s="368"/>
      <c r="F104" s="368"/>
      <c r="G104" s="145"/>
      <c r="H104" s="145"/>
      <c r="I104" s="145"/>
      <c r="J104" s="145"/>
      <c r="K104" s="145"/>
      <c r="L104" s="145"/>
      <c r="M104" s="145"/>
    </row>
    <row r="105" spans="1:13" x14ac:dyDescent="0.25">
      <c r="A105" s="894" t="s">
        <v>165</v>
      </c>
      <c r="B105" s="894"/>
      <c r="D105" s="368"/>
      <c r="E105" s="368"/>
      <c r="F105" s="368"/>
      <c r="G105" s="145"/>
      <c r="H105" s="145"/>
      <c r="I105" s="145"/>
      <c r="J105" s="145"/>
      <c r="K105" s="145"/>
      <c r="L105" s="145"/>
      <c r="M105" s="145"/>
    </row>
    <row r="106" spans="1:13" x14ac:dyDescent="0.25">
      <c r="A106" s="894"/>
      <c r="B106" s="894"/>
      <c r="D106" s="250"/>
      <c r="E106" s="250"/>
      <c r="F106" s="250"/>
      <c r="G106" s="250"/>
      <c r="H106" s="250"/>
      <c r="I106" s="250"/>
      <c r="J106" s="250"/>
      <c r="K106" s="250"/>
      <c r="L106" s="250"/>
      <c r="M106" s="250"/>
    </row>
    <row r="107" spans="1:13" x14ac:dyDescent="0.25">
      <c r="A107" s="848" t="s">
        <v>687</v>
      </c>
      <c r="B107" s="894"/>
      <c r="D107" s="338">
        <f t="shared" ref="D107:J107" si="6">D99-D102+D104+D105</f>
        <v>57373000</v>
      </c>
      <c r="E107" s="338">
        <f t="shared" si="6"/>
        <v>-688412.15</v>
      </c>
      <c r="F107" s="338">
        <f t="shared" si="6"/>
        <v>-98072</v>
      </c>
      <c r="G107" s="338">
        <f t="shared" si="6"/>
        <v>381433.47</v>
      </c>
      <c r="H107" s="338">
        <f t="shared" si="6"/>
        <v>23785493</v>
      </c>
      <c r="I107" s="338">
        <f t="shared" si="6"/>
        <v>-5673949.3799999999</v>
      </c>
      <c r="J107" s="338">
        <f t="shared" si="6"/>
        <v>241445069.31999999</v>
      </c>
      <c r="K107" s="338">
        <f>K99-K102+K104+K105</f>
        <v>1358629</v>
      </c>
      <c r="L107" s="338">
        <f>L99-L102+L104+L105</f>
        <v>-1075714</v>
      </c>
      <c r="M107" s="338"/>
    </row>
    <row r="108" spans="1:13" x14ac:dyDescent="0.25">
      <c r="A108" s="894"/>
      <c r="B108" s="894"/>
      <c r="D108" s="250"/>
      <c r="E108" s="250"/>
      <c r="F108" s="250"/>
      <c r="G108" s="250"/>
      <c r="H108" s="250"/>
      <c r="I108" s="250"/>
      <c r="J108" s="250"/>
      <c r="K108" s="250"/>
      <c r="L108" s="250"/>
      <c r="M108" s="250"/>
    </row>
    <row r="109" spans="1:13" x14ac:dyDescent="0.25">
      <c r="A109" s="848" t="s">
        <v>702</v>
      </c>
      <c r="B109" s="894"/>
      <c r="D109" s="145">
        <v>839877000</v>
      </c>
      <c r="E109" s="145">
        <v>9832640.1600000001</v>
      </c>
      <c r="F109" s="145">
        <v>36189260</v>
      </c>
      <c r="G109" s="145">
        <v>915043.8</v>
      </c>
      <c r="H109" s="145">
        <v>616665532</v>
      </c>
      <c r="I109" s="145">
        <v>372173832</v>
      </c>
      <c r="J109" s="145">
        <v>974557351.34000003</v>
      </c>
      <c r="K109" s="145">
        <v>3514284</v>
      </c>
      <c r="L109" s="145">
        <v>128714838</v>
      </c>
      <c r="M109" s="145"/>
    </row>
    <row r="110" spans="1:13" x14ac:dyDescent="0.25">
      <c r="A110" s="848" t="s">
        <v>661</v>
      </c>
      <c r="B110" s="894"/>
      <c r="D110" s="145">
        <v>0</v>
      </c>
      <c r="E110" s="145"/>
      <c r="F110" s="145">
        <v>0</v>
      </c>
      <c r="G110" s="145">
        <v>325502</v>
      </c>
      <c r="H110" s="145">
        <v>0</v>
      </c>
      <c r="I110" s="145"/>
      <c r="J110" s="145">
        <v>1954193.55</v>
      </c>
      <c r="K110" s="145"/>
      <c r="L110" s="145">
        <v>-2100374</v>
      </c>
      <c r="M110" s="145"/>
    </row>
    <row r="111" spans="1:13" ht="13.8" thickBot="1" x14ac:dyDescent="0.3">
      <c r="A111" s="848" t="s">
        <v>701</v>
      </c>
      <c r="B111" s="894"/>
      <c r="D111" s="321">
        <f t="shared" ref="D111:J111" si="7">D107+D109+D110</f>
        <v>897250000</v>
      </c>
      <c r="E111" s="321">
        <f t="shared" si="7"/>
        <v>9144228.0099999998</v>
      </c>
      <c r="F111" s="321">
        <f t="shared" si="7"/>
        <v>36091188</v>
      </c>
      <c r="G111" s="321">
        <f t="shared" si="7"/>
        <v>1621979.27</v>
      </c>
      <c r="H111" s="321">
        <f t="shared" si="7"/>
        <v>640451025</v>
      </c>
      <c r="I111" s="321">
        <f t="shared" si="7"/>
        <v>366499882.62</v>
      </c>
      <c r="J111" s="321">
        <f t="shared" si="7"/>
        <v>1217956614.21</v>
      </c>
      <c r="K111" s="321">
        <f>K107+K109+K110</f>
        <v>4872913</v>
      </c>
      <c r="L111" s="321">
        <f>L107+L109+L110</f>
        <v>125538750</v>
      </c>
      <c r="M111" s="321"/>
    </row>
    <row r="112" spans="1:13" ht="12" customHeight="1" thickTop="1" x14ac:dyDescent="0.25">
      <c r="D112" s="145"/>
      <c r="E112" s="145"/>
      <c r="F112" s="145"/>
      <c r="G112" s="145"/>
      <c r="H112" s="145"/>
      <c r="I112" s="145"/>
      <c r="J112" s="145"/>
      <c r="K112" s="145"/>
      <c r="L112" s="145"/>
      <c r="M112" s="145"/>
    </row>
    <row r="113" spans="1:13" ht="13.8" x14ac:dyDescent="0.3">
      <c r="A113" s="440" t="s">
        <v>703</v>
      </c>
      <c r="B113" s="440"/>
      <c r="D113" s="133" t="str">
        <f t="shared" ref="D113:L113" si="8">IF(D80=D111,"In Bal.","NOT")</f>
        <v>In Bal.</v>
      </c>
      <c r="E113" s="133" t="str">
        <f t="shared" si="8"/>
        <v>In Bal.</v>
      </c>
      <c r="F113" s="133" t="str">
        <f t="shared" si="8"/>
        <v>In Bal.</v>
      </c>
      <c r="G113" s="133" t="str">
        <f t="shared" si="8"/>
        <v>In Bal.</v>
      </c>
      <c r="H113" s="133" t="str">
        <f t="shared" si="8"/>
        <v>In Bal.</v>
      </c>
      <c r="I113" s="133" t="str">
        <f t="shared" si="8"/>
        <v>In Bal.</v>
      </c>
      <c r="J113" s="133" t="str">
        <f t="shared" si="8"/>
        <v>In Bal.</v>
      </c>
      <c r="K113" s="133" t="str">
        <f t="shared" si="8"/>
        <v>In Bal.</v>
      </c>
      <c r="L113" s="133" t="str">
        <f t="shared" si="8"/>
        <v>In Bal.</v>
      </c>
      <c r="M113" s="133"/>
    </row>
    <row r="114" spans="1:13" x14ac:dyDescent="0.25">
      <c r="A114" s="129"/>
      <c r="B114" s="129"/>
    </row>
    <row r="115" spans="1:13" x14ac:dyDescent="0.25">
      <c r="A115" s="127"/>
      <c r="B115" s="129"/>
    </row>
  </sheetData>
  <sheetProtection algorithmName="SHA-512" hashValue="GddP14oeFiO88JTciBYcA7IK5gpAcbJ/9S8HI6xEGRMTLEBBBrwonWTAX2EqpU0b8x8W65NNn2ryulb4WnosXQ==" saltValue="LUaaWk+QUeCHqWZyWU6Jhw==" spinCount="100000" sheet="1" objects="1" scenarios="1" autoFilter="0"/>
  <mergeCells count="89">
    <mergeCell ref="A96:B96"/>
    <mergeCell ref="A95:B95"/>
    <mergeCell ref="A58:B58"/>
    <mergeCell ref="A87:B87"/>
    <mergeCell ref="A88:B88"/>
    <mergeCell ref="A90:B90"/>
    <mergeCell ref="A92:B92"/>
    <mergeCell ref="A61:B61"/>
    <mergeCell ref="A64:B64"/>
    <mergeCell ref="A63:B63"/>
    <mergeCell ref="A65:B65"/>
    <mergeCell ref="A71:B71"/>
    <mergeCell ref="A70:B70"/>
    <mergeCell ref="A67:B67"/>
    <mergeCell ref="A80:B80"/>
    <mergeCell ref="A94:B94"/>
    <mergeCell ref="A93:B93"/>
    <mergeCell ref="A55:B55"/>
    <mergeCell ref="A56:B56"/>
    <mergeCell ref="A57:B57"/>
    <mergeCell ref="A66:B66"/>
    <mergeCell ref="A68:B68"/>
    <mergeCell ref="A89:B89"/>
    <mergeCell ref="A91:B91"/>
    <mergeCell ref="A69:B69"/>
    <mergeCell ref="A48:B48"/>
    <mergeCell ref="A43:B43"/>
    <mergeCell ref="A44:B44"/>
    <mergeCell ref="A45:B45"/>
    <mergeCell ref="A46:B46"/>
    <mergeCell ref="A1:E1"/>
    <mergeCell ref="A2:E2"/>
    <mergeCell ref="A3:E3"/>
    <mergeCell ref="A4:E4"/>
    <mergeCell ref="A79:B79"/>
    <mergeCell ref="A74:B74"/>
    <mergeCell ref="A76:B76"/>
    <mergeCell ref="A77:B77"/>
    <mergeCell ref="A78:B78"/>
    <mergeCell ref="A49:B49"/>
    <mergeCell ref="A50:B50"/>
    <mergeCell ref="A51:B51"/>
    <mergeCell ref="A52:B52"/>
    <mergeCell ref="A53:B53"/>
    <mergeCell ref="A62:B62"/>
    <mergeCell ref="A47:B47"/>
    <mergeCell ref="A108:B108"/>
    <mergeCell ref="A109:B109"/>
    <mergeCell ref="A110:B110"/>
    <mergeCell ref="A111:B111"/>
    <mergeCell ref="A98:B98"/>
    <mergeCell ref="A99:B99"/>
    <mergeCell ref="A102:B102"/>
    <mergeCell ref="A103:B103"/>
    <mergeCell ref="A106:B106"/>
    <mergeCell ref="A107:B107"/>
    <mergeCell ref="A105:B105"/>
    <mergeCell ref="A104:B104"/>
    <mergeCell ref="A40:B40"/>
    <mergeCell ref="A36:B36"/>
    <mergeCell ref="A37:B37"/>
    <mergeCell ref="A32:B32"/>
    <mergeCell ref="A38:B38"/>
    <mergeCell ref="A39:B39"/>
    <mergeCell ref="A30:B30"/>
    <mergeCell ref="A29:B29"/>
    <mergeCell ref="A31:B31"/>
    <mergeCell ref="A35:B35"/>
    <mergeCell ref="A17:B17"/>
    <mergeCell ref="A21:B21"/>
    <mergeCell ref="A26:B26"/>
    <mergeCell ref="A27:B27"/>
    <mergeCell ref="A28:B28"/>
    <mergeCell ref="A54:B54"/>
    <mergeCell ref="A97:B97"/>
    <mergeCell ref="A5:C5"/>
    <mergeCell ref="A6:C6"/>
    <mergeCell ref="A25:B25"/>
    <mergeCell ref="A12:B12"/>
    <mergeCell ref="A13:B13"/>
    <mergeCell ref="A14:B14"/>
    <mergeCell ref="A15:B15"/>
    <mergeCell ref="A16:B16"/>
    <mergeCell ref="A18:B18"/>
    <mergeCell ref="A19:B19"/>
    <mergeCell ref="A20:B20"/>
    <mergeCell ref="A24:B24"/>
    <mergeCell ref="A22:B22"/>
    <mergeCell ref="A23:B23"/>
  </mergeCells>
  <hyperlinks>
    <hyperlink ref="A1:B1" location="Index!A1" display="Index!A1" xr:uid="{00000000-0004-0000-1C00-000000000000}"/>
  </hyperlinks>
  <pageMargins left="0.45" right="0.45" top="0.75" bottom="0.75" header="0.3" footer="0.3"/>
  <pageSetup scale="97" fitToHeight="3" orientation="portrait" r:id="rId1"/>
  <rowBreaks count="1" manualBreakCount="1">
    <brk id="59" max="16383" man="1"/>
  </rowBreaks>
  <legacy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1"/>
  <dimension ref="A1:O145"/>
  <sheetViews>
    <sheetView workbookViewId="0">
      <selection activeCell="R33" sqref="R33"/>
    </sheetView>
  </sheetViews>
  <sheetFormatPr defaultRowHeight="13.2" x14ac:dyDescent="0.25"/>
  <cols>
    <col min="1" max="1" width="11.44140625" customWidth="1"/>
    <col min="2" max="2" width="55.88671875" customWidth="1"/>
    <col min="10" max="10" width="12.109375" bestFit="1" customWidth="1"/>
    <col min="11" max="11" width="12.109375" customWidth="1"/>
    <col min="12" max="12" width="35.44140625" customWidth="1"/>
    <col min="13" max="17" width="6.5546875" customWidth="1"/>
  </cols>
  <sheetData>
    <row r="1" spans="1:15" ht="15.6" x14ac:dyDescent="0.3">
      <c r="A1" s="1" t="s">
        <v>3</v>
      </c>
      <c r="J1" s="470" t="s">
        <v>897</v>
      </c>
      <c r="K1" s="470"/>
      <c r="L1" s="471" t="s">
        <v>898</v>
      </c>
      <c r="M1" s="471"/>
      <c r="N1" s="471"/>
    </row>
    <row r="2" spans="1:15" x14ac:dyDescent="0.25">
      <c r="A2" s="242">
        <v>44742</v>
      </c>
      <c r="B2" t="s">
        <v>366</v>
      </c>
      <c r="J2" s="471">
        <f>'115'!A44</f>
        <v>0</v>
      </c>
      <c r="K2" s="471"/>
      <c r="L2" s="471"/>
      <c r="M2" s="471"/>
      <c r="N2" s="471"/>
    </row>
    <row r="3" spans="1:15" x14ac:dyDescent="0.25">
      <c r="A3" s="242">
        <v>44378</v>
      </c>
      <c r="B3" t="s">
        <v>5</v>
      </c>
      <c r="M3" s="471"/>
      <c r="N3" s="471"/>
    </row>
    <row r="4" spans="1:15" x14ac:dyDescent="0.25">
      <c r="A4" s="242">
        <v>44377</v>
      </c>
      <c r="B4" t="s">
        <v>6</v>
      </c>
      <c r="M4" s="475"/>
      <c r="N4" s="475"/>
      <c r="O4" s="475"/>
    </row>
    <row r="5" spans="1:15" x14ac:dyDescent="0.25">
      <c r="A5" s="242">
        <v>44743</v>
      </c>
      <c r="B5" t="s">
        <v>7</v>
      </c>
    </row>
    <row r="6" spans="1:15" x14ac:dyDescent="0.25">
      <c r="A6" s="242">
        <v>45107</v>
      </c>
      <c r="B6" t="s">
        <v>8</v>
      </c>
      <c r="M6" s="477"/>
      <c r="N6" s="477"/>
    </row>
    <row r="7" spans="1:15" x14ac:dyDescent="0.25">
      <c r="M7" s="479"/>
      <c r="N7" s="479"/>
    </row>
    <row r="8" spans="1:15" ht="15.6" x14ac:dyDescent="0.3">
      <c r="A8" s="370" t="s">
        <v>662</v>
      </c>
      <c r="B8" s="371"/>
      <c r="C8" s="371"/>
      <c r="D8" s="371"/>
      <c r="E8" s="371"/>
      <c r="F8" s="371"/>
      <c r="G8" s="371"/>
      <c r="M8" s="479"/>
      <c r="N8" s="479"/>
    </row>
    <row r="9" spans="1:15" ht="15.6" x14ac:dyDescent="0.3">
      <c r="A9" s="371" t="s">
        <v>663</v>
      </c>
      <c r="B9" s="371"/>
      <c r="C9" s="371"/>
      <c r="D9" s="371"/>
      <c r="E9" s="371"/>
      <c r="F9" s="371"/>
      <c r="G9" s="371"/>
      <c r="M9" s="479"/>
      <c r="N9" s="479"/>
    </row>
    <row r="10" spans="1:15" ht="15.6" x14ac:dyDescent="0.3">
      <c r="A10" s="371" t="s">
        <v>664</v>
      </c>
      <c r="B10" s="371"/>
      <c r="C10" s="371"/>
      <c r="D10" s="371"/>
      <c r="E10" s="371"/>
      <c r="F10" s="371"/>
      <c r="G10" s="371"/>
      <c r="M10" s="474"/>
      <c r="N10" s="474"/>
    </row>
    <row r="12" spans="1:15" x14ac:dyDescent="0.25">
      <c r="M12" s="476"/>
      <c r="N12" s="476"/>
      <c r="O12" s="476"/>
    </row>
    <row r="13" spans="1:15" x14ac:dyDescent="0.25">
      <c r="A13" s="1098" t="s">
        <v>1064</v>
      </c>
      <c r="B13" s="1098"/>
      <c r="C13" s="1098"/>
      <c r="D13" s="1098"/>
      <c r="E13" s="1098"/>
      <c r="F13" s="1098"/>
      <c r="G13" s="1098"/>
      <c r="M13" s="479"/>
      <c r="N13" s="479"/>
    </row>
    <row r="14" spans="1:15" x14ac:dyDescent="0.25">
      <c r="M14" s="479"/>
      <c r="N14" s="479"/>
    </row>
    <row r="15" spans="1:15" ht="15.6" x14ac:dyDescent="0.3">
      <c r="A15" s="510" t="s">
        <v>1011</v>
      </c>
      <c r="B15" s="511" t="s">
        <v>388</v>
      </c>
      <c r="C15" s="511" t="s">
        <v>389</v>
      </c>
      <c r="D15" s="1101" t="s">
        <v>1069</v>
      </c>
      <c r="E15" s="1101"/>
      <c r="F15" s="1101"/>
      <c r="G15" s="1101"/>
    </row>
    <row r="16" spans="1:15" ht="15.6" x14ac:dyDescent="0.3">
      <c r="A16" s="510" t="s">
        <v>1012</v>
      </c>
      <c r="B16" s="511" t="s">
        <v>391</v>
      </c>
      <c r="C16" s="511" t="s">
        <v>389</v>
      </c>
      <c r="D16" s="1101" t="s">
        <v>1065</v>
      </c>
      <c r="E16" s="1101"/>
      <c r="F16" s="1101"/>
      <c r="G16" s="1101"/>
      <c r="M16" s="474"/>
      <c r="N16" s="474"/>
    </row>
    <row r="17" spans="1:14" ht="15.6" x14ac:dyDescent="0.3">
      <c r="A17" s="510" t="s">
        <v>1013</v>
      </c>
      <c r="B17" s="511" t="s">
        <v>392</v>
      </c>
      <c r="C17" s="511" t="s">
        <v>389</v>
      </c>
      <c r="D17" s="511"/>
      <c r="E17" s="512"/>
      <c r="F17" s="512"/>
      <c r="G17" s="512"/>
    </row>
    <row r="18" spans="1:14" ht="15.6" x14ac:dyDescent="0.3">
      <c r="A18" s="510" t="s">
        <v>1014</v>
      </c>
      <c r="B18" s="511" t="s">
        <v>393</v>
      </c>
      <c r="C18" s="511" t="s">
        <v>389</v>
      </c>
      <c r="D18" s="511"/>
      <c r="E18" s="512"/>
      <c r="F18" s="512"/>
      <c r="G18" s="512"/>
      <c r="M18" s="478"/>
      <c r="N18" s="478"/>
    </row>
    <row r="19" spans="1:14" ht="15.6" x14ac:dyDescent="0.3">
      <c r="A19" s="510" t="s">
        <v>1015</v>
      </c>
      <c r="B19" s="511" t="s">
        <v>394</v>
      </c>
      <c r="C19" s="511" t="s">
        <v>389</v>
      </c>
      <c r="D19" s="511"/>
      <c r="E19" s="512"/>
      <c r="F19" s="512"/>
      <c r="G19" s="512"/>
      <c r="M19" s="478"/>
      <c r="N19" s="478"/>
    </row>
    <row r="20" spans="1:14" ht="15.6" x14ac:dyDescent="0.3">
      <c r="A20" s="510" t="s">
        <v>1016</v>
      </c>
      <c r="B20" s="511" t="s">
        <v>395</v>
      </c>
      <c r="C20" s="511" t="s">
        <v>389</v>
      </c>
      <c r="D20" s="511"/>
      <c r="E20" s="512"/>
      <c r="F20" s="512"/>
      <c r="G20" s="512"/>
      <c r="M20" s="478"/>
      <c r="N20" s="478"/>
    </row>
    <row r="21" spans="1:14" ht="15.6" x14ac:dyDescent="0.3">
      <c r="A21" s="510" t="s">
        <v>1017</v>
      </c>
      <c r="B21" s="511" t="s">
        <v>396</v>
      </c>
      <c r="C21" s="511" t="s">
        <v>389</v>
      </c>
      <c r="D21" s="511"/>
      <c r="E21" s="512"/>
      <c r="F21" s="512"/>
      <c r="G21" s="512"/>
      <c r="M21" s="474"/>
      <c r="N21" s="474"/>
    </row>
    <row r="22" spans="1:14" ht="15.6" x14ac:dyDescent="0.3">
      <c r="A22" s="510" t="s">
        <v>1019</v>
      </c>
      <c r="B22" s="511" t="s">
        <v>397</v>
      </c>
      <c r="C22" s="511" t="s">
        <v>389</v>
      </c>
      <c r="D22" s="511"/>
      <c r="E22" s="512"/>
      <c r="F22" s="512"/>
      <c r="G22" s="512"/>
    </row>
    <row r="23" spans="1:14" ht="15.6" x14ac:dyDescent="0.3">
      <c r="A23" s="510" t="s">
        <v>1020</v>
      </c>
      <c r="B23" s="511" t="s">
        <v>398</v>
      </c>
      <c r="C23" s="511" t="s">
        <v>389</v>
      </c>
      <c r="D23" s="511"/>
      <c r="E23" s="512"/>
      <c r="F23" s="512"/>
      <c r="G23" s="512"/>
      <c r="M23" s="478"/>
      <c r="N23" s="478"/>
    </row>
    <row r="24" spans="1:14" ht="15.6" x14ac:dyDescent="0.3">
      <c r="A24" s="510" t="s">
        <v>1021</v>
      </c>
      <c r="B24" s="511" t="s">
        <v>399</v>
      </c>
      <c r="C24" s="511" t="s">
        <v>389</v>
      </c>
      <c r="D24" s="511"/>
      <c r="E24" s="512"/>
      <c r="F24" s="512"/>
      <c r="G24" s="512"/>
      <c r="M24" s="478"/>
      <c r="N24" s="478"/>
    </row>
    <row r="25" spans="1:14" ht="15.6" x14ac:dyDescent="0.3">
      <c r="A25" s="510" t="s">
        <v>1022</v>
      </c>
      <c r="B25" s="511" t="s">
        <v>401</v>
      </c>
      <c r="C25" s="511" t="s">
        <v>389</v>
      </c>
      <c r="D25" s="511"/>
      <c r="E25" s="512"/>
      <c r="F25" s="512"/>
      <c r="G25" s="512"/>
      <c r="M25" s="478"/>
      <c r="N25" s="478"/>
    </row>
    <row r="26" spans="1:14" ht="15.6" x14ac:dyDescent="0.3">
      <c r="A26" s="510" t="s">
        <v>1023</v>
      </c>
      <c r="B26" s="511" t="s">
        <v>402</v>
      </c>
      <c r="C26" s="511" t="s">
        <v>389</v>
      </c>
      <c r="D26" s="511"/>
      <c r="E26" s="512"/>
      <c r="F26" s="512"/>
      <c r="G26" s="512"/>
      <c r="M26" s="474"/>
      <c r="N26" s="474"/>
    </row>
    <row r="27" spans="1:14" ht="15.6" x14ac:dyDescent="0.3">
      <c r="A27" s="510" t="s">
        <v>84</v>
      </c>
      <c r="B27" s="511" t="s">
        <v>403</v>
      </c>
      <c r="C27" s="511" t="s">
        <v>389</v>
      </c>
      <c r="D27" s="511"/>
      <c r="E27" s="512"/>
      <c r="F27" s="512"/>
      <c r="G27" s="512"/>
    </row>
    <row r="28" spans="1:14" ht="15.6" x14ac:dyDescent="0.3">
      <c r="A28" s="510" t="s">
        <v>1024</v>
      </c>
      <c r="B28" s="511" t="s">
        <v>404</v>
      </c>
      <c r="C28" s="511" t="s">
        <v>389</v>
      </c>
      <c r="D28" s="511"/>
      <c r="E28" s="512"/>
      <c r="F28" s="512"/>
      <c r="G28" s="512"/>
      <c r="M28" s="478"/>
      <c r="N28" s="478"/>
    </row>
    <row r="29" spans="1:14" ht="15.6" x14ac:dyDescent="0.3">
      <c r="A29" s="510" t="s">
        <v>1025</v>
      </c>
      <c r="B29" s="511" t="s">
        <v>405</v>
      </c>
      <c r="C29" s="511" t="s">
        <v>389</v>
      </c>
      <c r="D29" s="511"/>
      <c r="E29" s="512"/>
      <c r="F29" s="512"/>
      <c r="G29" s="512"/>
      <c r="M29" s="478"/>
      <c r="N29" s="478"/>
    </row>
    <row r="30" spans="1:14" ht="15.6" x14ac:dyDescent="0.3">
      <c r="A30" s="510" t="s">
        <v>1026</v>
      </c>
      <c r="B30" s="511" t="s">
        <v>994</v>
      </c>
      <c r="C30" s="511" t="s">
        <v>389</v>
      </c>
      <c r="D30" s="511"/>
      <c r="E30" s="512"/>
      <c r="F30" s="512"/>
      <c r="G30" s="512"/>
      <c r="M30" s="478"/>
      <c r="N30" s="478"/>
    </row>
    <row r="31" spans="1:14" ht="15.6" x14ac:dyDescent="0.3">
      <c r="A31" s="510" t="s">
        <v>1027</v>
      </c>
      <c r="B31" s="511" t="s">
        <v>406</v>
      </c>
      <c r="C31" s="511" t="s">
        <v>389</v>
      </c>
      <c r="D31" s="511"/>
      <c r="E31" s="512"/>
      <c r="F31" s="512"/>
      <c r="G31" s="512"/>
      <c r="M31" s="474"/>
      <c r="N31" s="474"/>
    </row>
    <row r="32" spans="1:14" ht="15.6" x14ac:dyDescent="0.3">
      <c r="A32" s="510" t="s">
        <v>665</v>
      </c>
      <c r="B32" s="511" t="s">
        <v>666</v>
      </c>
      <c r="C32" s="511" t="s">
        <v>389</v>
      </c>
      <c r="D32" s="511"/>
      <c r="E32" s="512"/>
      <c r="F32" s="512"/>
      <c r="G32" s="512"/>
    </row>
    <row r="33" spans="1:15" ht="15.6" x14ac:dyDescent="0.3">
      <c r="A33" s="510" t="s">
        <v>407</v>
      </c>
      <c r="B33" s="511" t="s">
        <v>408</v>
      </c>
      <c r="C33" s="511" t="s">
        <v>389</v>
      </c>
      <c r="D33" s="511"/>
      <c r="E33" s="512"/>
      <c r="F33" s="512"/>
      <c r="G33" s="512"/>
      <c r="M33" s="480"/>
      <c r="N33" s="480"/>
      <c r="O33" s="480"/>
    </row>
    <row r="34" spans="1:15" ht="15.6" x14ac:dyDescent="0.3">
      <c r="A34" s="510" t="s">
        <v>409</v>
      </c>
      <c r="B34" s="511" t="s">
        <v>410</v>
      </c>
      <c r="C34" s="511" t="s">
        <v>389</v>
      </c>
      <c r="D34" s="511"/>
      <c r="E34" s="512"/>
      <c r="F34" s="512"/>
      <c r="G34" s="512"/>
      <c r="M34" s="479"/>
      <c r="N34" s="479"/>
    </row>
    <row r="35" spans="1:15" ht="15.6" x14ac:dyDescent="0.3">
      <c r="A35" s="510" t="s">
        <v>996</v>
      </c>
      <c r="B35" s="511" t="s">
        <v>997</v>
      </c>
      <c r="C35" s="511" t="s">
        <v>389</v>
      </c>
      <c r="D35" s="511"/>
      <c r="E35" s="512"/>
      <c r="F35" s="512"/>
      <c r="G35" s="512"/>
      <c r="M35" s="479"/>
      <c r="N35" s="479"/>
    </row>
    <row r="36" spans="1:15" ht="15.6" x14ac:dyDescent="0.3">
      <c r="A36" s="510" t="s">
        <v>85</v>
      </c>
      <c r="B36" s="511" t="s">
        <v>998</v>
      </c>
      <c r="C36" s="511" t="s">
        <v>389</v>
      </c>
      <c r="D36" s="511"/>
      <c r="E36" s="512"/>
      <c r="F36" s="512"/>
      <c r="G36" s="512"/>
      <c r="M36" s="479"/>
      <c r="N36" s="479"/>
    </row>
    <row r="37" spans="1:15" ht="15.6" x14ac:dyDescent="0.3">
      <c r="A37" s="510" t="s">
        <v>1028</v>
      </c>
      <c r="B37" s="511" t="s">
        <v>411</v>
      </c>
      <c r="C37" s="511" t="s">
        <v>389</v>
      </c>
      <c r="D37" s="511"/>
      <c r="E37" s="512"/>
      <c r="F37" s="512"/>
      <c r="G37" s="512"/>
      <c r="M37" s="474"/>
      <c r="N37" s="474"/>
    </row>
    <row r="38" spans="1:15" ht="15.6" x14ac:dyDescent="0.3">
      <c r="A38" s="510" t="s">
        <v>1029</v>
      </c>
      <c r="B38" s="511" t="s">
        <v>412</v>
      </c>
      <c r="C38" s="511" t="s">
        <v>389</v>
      </c>
      <c r="D38" s="511"/>
      <c r="E38" s="512"/>
      <c r="F38" s="512"/>
      <c r="G38" s="512"/>
    </row>
    <row r="39" spans="1:15" ht="15.6" x14ac:dyDescent="0.3">
      <c r="A39" s="510" t="s">
        <v>1030</v>
      </c>
      <c r="B39" s="511" t="s">
        <v>999</v>
      </c>
      <c r="C39" s="511" t="s">
        <v>389</v>
      </c>
      <c r="D39" s="511"/>
      <c r="E39" s="512"/>
      <c r="F39" s="512"/>
      <c r="G39" s="512"/>
      <c r="M39" s="480"/>
      <c r="N39" s="480"/>
      <c r="O39" s="480"/>
    </row>
    <row r="40" spans="1:15" ht="15.6" x14ac:dyDescent="0.3">
      <c r="A40" s="510" t="s">
        <v>1032</v>
      </c>
      <c r="B40" s="511" t="s">
        <v>422</v>
      </c>
      <c r="C40" s="511" t="s">
        <v>389</v>
      </c>
      <c r="D40" s="511"/>
      <c r="E40" s="512"/>
      <c r="F40" s="512"/>
      <c r="G40" s="512"/>
    </row>
    <row r="41" spans="1:15" ht="15.6" x14ac:dyDescent="0.3">
      <c r="A41" s="510" t="s">
        <v>1033</v>
      </c>
      <c r="B41" s="511" t="s">
        <v>423</v>
      </c>
      <c r="C41" s="511" t="s">
        <v>389</v>
      </c>
      <c r="D41" s="511"/>
      <c r="E41" s="512"/>
      <c r="F41" s="512"/>
      <c r="G41" s="512"/>
    </row>
    <row r="42" spans="1:15" ht="15.6" x14ac:dyDescent="0.3">
      <c r="A42" s="510" t="s">
        <v>424</v>
      </c>
      <c r="B42" s="511" t="s">
        <v>425</v>
      </c>
      <c r="C42" s="511" t="s">
        <v>389</v>
      </c>
      <c r="D42" s="511"/>
      <c r="E42" s="512"/>
      <c r="F42" s="512"/>
      <c r="G42" s="512"/>
    </row>
    <row r="43" spans="1:15" ht="15.6" x14ac:dyDescent="0.3">
      <c r="A43" s="510" t="s">
        <v>1034</v>
      </c>
      <c r="B43" s="511" t="s">
        <v>426</v>
      </c>
      <c r="C43" s="511" t="s">
        <v>389</v>
      </c>
      <c r="D43" s="511"/>
      <c r="E43" s="512"/>
      <c r="F43" s="512"/>
      <c r="G43" s="512"/>
      <c r="M43" s="474"/>
      <c r="N43" s="474"/>
    </row>
    <row r="44" spans="1:15" ht="15.6" x14ac:dyDescent="0.3">
      <c r="A44" s="510" t="s">
        <v>427</v>
      </c>
      <c r="B44" s="511" t="s">
        <v>428</v>
      </c>
      <c r="C44" s="511" t="s">
        <v>389</v>
      </c>
      <c r="D44" s="511"/>
      <c r="E44" s="512"/>
      <c r="F44" s="512"/>
      <c r="G44" s="512"/>
    </row>
    <row r="45" spans="1:15" ht="15.6" x14ac:dyDescent="0.3">
      <c r="A45" s="510" t="s">
        <v>817</v>
      </c>
      <c r="B45" s="513" t="s">
        <v>818</v>
      </c>
      <c r="C45" s="511" t="s">
        <v>389</v>
      </c>
      <c r="D45" s="511"/>
      <c r="E45" s="512"/>
      <c r="F45" s="512"/>
      <c r="G45" s="512"/>
      <c r="M45" s="480"/>
      <c r="N45" s="480"/>
      <c r="O45" s="480"/>
    </row>
    <row r="46" spans="1:15" ht="15.6" x14ac:dyDescent="0.3">
      <c r="A46" s="510" t="s">
        <v>432</v>
      </c>
      <c r="B46" s="511" t="s">
        <v>433</v>
      </c>
      <c r="C46" s="511" t="s">
        <v>389</v>
      </c>
      <c r="D46" s="511"/>
      <c r="E46" s="512"/>
      <c r="F46" s="512"/>
      <c r="G46" s="512"/>
      <c r="M46" s="479"/>
      <c r="N46" s="479"/>
    </row>
    <row r="47" spans="1:15" ht="15.6" x14ac:dyDescent="0.3">
      <c r="A47" s="510" t="s">
        <v>434</v>
      </c>
      <c r="B47" s="511" t="s">
        <v>435</v>
      </c>
      <c r="C47" s="511" t="s">
        <v>389</v>
      </c>
      <c r="D47" s="511"/>
      <c r="E47" s="512"/>
      <c r="F47" s="512"/>
      <c r="G47" s="512"/>
      <c r="M47" s="479"/>
      <c r="N47" s="479"/>
    </row>
    <row r="48" spans="1:15" ht="16.2" thickBot="1" x14ac:dyDescent="0.35">
      <c r="A48" s="515" t="s">
        <v>436</v>
      </c>
      <c r="B48" s="516" t="s">
        <v>437</v>
      </c>
      <c r="C48" s="516" t="s">
        <v>389</v>
      </c>
      <c r="D48" s="516"/>
      <c r="E48" s="514"/>
      <c r="F48" s="514"/>
      <c r="G48" s="514"/>
      <c r="M48" s="479"/>
      <c r="N48" s="479"/>
    </row>
    <row r="49" spans="1:15" ht="15.6" x14ac:dyDescent="0.3">
      <c r="A49" s="517" t="s">
        <v>807</v>
      </c>
      <c r="B49" s="518" t="s">
        <v>808</v>
      </c>
      <c r="C49" s="519" t="s">
        <v>414</v>
      </c>
      <c r="D49" s="1099" t="s">
        <v>1066</v>
      </c>
      <c r="E49" s="1099"/>
      <c r="F49" s="1099"/>
      <c r="G49" s="1099"/>
      <c r="M49" s="474"/>
      <c r="N49" s="474"/>
    </row>
    <row r="50" spans="1:15" ht="15.6" x14ac:dyDescent="0.3">
      <c r="A50" s="517" t="s">
        <v>1031</v>
      </c>
      <c r="B50" s="519" t="s">
        <v>413</v>
      </c>
      <c r="C50" s="519" t="s">
        <v>414</v>
      </c>
      <c r="D50" s="1100" t="s">
        <v>1067</v>
      </c>
      <c r="E50" s="1100"/>
      <c r="F50" s="1100"/>
      <c r="G50" s="1100"/>
    </row>
    <row r="51" spans="1:15" ht="15.6" x14ac:dyDescent="0.3">
      <c r="A51" s="517" t="s">
        <v>416</v>
      </c>
      <c r="B51" s="519" t="s">
        <v>417</v>
      </c>
      <c r="C51" s="519" t="s">
        <v>414</v>
      </c>
      <c r="D51" s="519"/>
      <c r="E51" s="520"/>
      <c r="F51" s="520"/>
      <c r="G51" s="520"/>
      <c r="M51" s="480"/>
      <c r="N51" s="480"/>
      <c r="O51" s="480"/>
    </row>
    <row r="52" spans="1:15" ht="15.6" x14ac:dyDescent="0.3">
      <c r="A52" s="517" t="s">
        <v>418</v>
      </c>
      <c r="B52" s="519" t="s">
        <v>419</v>
      </c>
      <c r="C52" s="519" t="s">
        <v>414</v>
      </c>
      <c r="D52" s="519"/>
      <c r="E52" s="520"/>
      <c r="F52" s="520"/>
      <c r="G52" s="520"/>
      <c r="M52" s="479"/>
      <c r="N52" s="479"/>
    </row>
    <row r="53" spans="1:15" ht="15.6" x14ac:dyDescent="0.3">
      <c r="A53" s="517" t="s">
        <v>420</v>
      </c>
      <c r="B53" s="519" t="s">
        <v>421</v>
      </c>
      <c r="C53" s="519" t="s">
        <v>414</v>
      </c>
      <c r="D53" s="519"/>
      <c r="E53" s="520"/>
      <c r="F53" s="520"/>
      <c r="G53" s="520"/>
      <c r="M53" s="479"/>
      <c r="N53" s="479"/>
    </row>
    <row r="54" spans="1:15" ht="15.6" x14ac:dyDescent="0.3">
      <c r="A54" s="517" t="s">
        <v>593</v>
      </c>
      <c r="B54" s="519" t="s">
        <v>608</v>
      </c>
      <c r="C54" s="519" t="s">
        <v>414</v>
      </c>
      <c r="D54" s="519"/>
      <c r="E54" s="520"/>
      <c r="F54" s="520"/>
      <c r="G54" s="520"/>
      <c r="M54" s="479"/>
      <c r="N54" s="479"/>
    </row>
    <row r="55" spans="1:15" ht="15.6" x14ac:dyDescent="0.3">
      <c r="A55" s="517" t="s">
        <v>656</v>
      </c>
      <c r="B55" s="518" t="s">
        <v>1068</v>
      </c>
      <c r="C55" s="519" t="s">
        <v>414</v>
      </c>
      <c r="D55" s="519"/>
      <c r="E55" s="520"/>
      <c r="F55" s="520"/>
      <c r="G55" s="520"/>
      <c r="M55" s="474"/>
      <c r="N55" s="474"/>
    </row>
    <row r="56" spans="1:15" ht="15.6" x14ac:dyDescent="0.3">
      <c r="A56" s="517" t="s">
        <v>810</v>
      </c>
      <c r="B56" s="518" t="s">
        <v>811</v>
      </c>
      <c r="C56" s="519" t="s">
        <v>414</v>
      </c>
      <c r="D56" s="519"/>
      <c r="E56" s="520"/>
      <c r="F56" s="520"/>
      <c r="G56" s="520"/>
    </row>
    <row r="57" spans="1:15" ht="15.6" x14ac:dyDescent="0.3">
      <c r="A57" s="517" t="s">
        <v>812</v>
      </c>
      <c r="B57" s="518" t="s">
        <v>813</v>
      </c>
      <c r="C57" s="519" t="s">
        <v>414</v>
      </c>
      <c r="D57" s="519"/>
      <c r="E57" s="520"/>
      <c r="F57" s="520"/>
      <c r="G57" s="520"/>
      <c r="M57" s="478"/>
      <c r="N57" s="478"/>
    </row>
    <row r="58" spans="1:15" ht="15.6" x14ac:dyDescent="0.3">
      <c r="A58" s="521" t="s">
        <v>1035</v>
      </c>
      <c r="B58" s="522" t="s">
        <v>429</v>
      </c>
      <c r="C58" s="522" t="s">
        <v>414</v>
      </c>
      <c r="D58" s="522"/>
      <c r="E58" s="520"/>
      <c r="F58" s="520"/>
      <c r="G58" s="520"/>
    </row>
    <row r="59" spans="1:15" ht="15.6" x14ac:dyDescent="0.3">
      <c r="A59" s="521" t="s">
        <v>438</v>
      </c>
      <c r="B59" s="522" t="s">
        <v>439</v>
      </c>
      <c r="C59" s="522" t="s">
        <v>414</v>
      </c>
      <c r="D59" s="522"/>
      <c r="E59" s="520"/>
      <c r="F59" s="520"/>
      <c r="G59" s="520"/>
    </row>
    <row r="60" spans="1:15" ht="15.6" x14ac:dyDescent="0.3">
      <c r="A60" s="521" t="s">
        <v>440</v>
      </c>
      <c r="B60" s="522" t="s">
        <v>441</v>
      </c>
      <c r="C60" s="522" t="s">
        <v>414</v>
      </c>
      <c r="D60" s="522"/>
      <c r="E60" s="520"/>
      <c r="F60" s="520"/>
      <c r="G60" s="520"/>
    </row>
    <row r="61" spans="1:15" ht="15.6" x14ac:dyDescent="0.3">
      <c r="A61" s="521" t="s">
        <v>442</v>
      </c>
      <c r="B61" s="522" t="s">
        <v>443</v>
      </c>
      <c r="C61" s="522" t="s">
        <v>414</v>
      </c>
      <c r="D61" s="522"/>
      <c r="E61" s="520"/>
      <c r="F61" s="520"/>
      <c r="G61" s="520"/>
    </row>
    <row r="62" spans="1:15" ht="15.6" x14ac:dyDescent="0.3">
      <c r="A62" s="521" t="s">
        <v>444</v>
      </c>
      <c r="B62" s="522" t="s">
        <v>445</v>
      </c>
      <c r="C62" s="522" t="s">
        <v>414</v>
      </c>
      <c r="D62" s="522"/>
      <c r="E62" s="520"/>
      <c r="F62" s="520"/>
      <c r="G62" s="520"/>
    </row>
    <row r="63" spans="1:15" ht="15.6" x14ac:dyDescent="0.3">
      <c r="A63" s="521" t="s">
        <v>446</v>
      </c>
      <c r="B63" s="522" t="s">
        <v>447</v>
      </c>
      <c r="C63" s="522" t="s">
        <v>414</v>
      </c>
      <c r="D63" s="522"/>
      <c r="E63" s="520"/>
      <c r="F63" s="520"/>
      <c r="G63" s="520"/>
    </row>
    <row r="64" spans="1:15" ht="15.6" x14ac:dyDescent="0.3">
      <c r="A64" s="521" t="s">
        <v>448</v>
      </c>
      <c r="B64" s="522" t="s">
        <v>449</v>
      </c>
      <c r="C64" s="522" t="s">
        <v>414</v>
      </c>
      <c r="D64" s="522"/>
      <c r="E64" s="520"/>
      <c r="F64" s="520"/>
      <c r="G64" s="520"/>
    </row>
    <row r="65" spans="1:7" ht="15.6" x14ac:dyDescent="0.3">
      <c r="A65" s="521" t="s">
        <v>450</v>
      </c>
      <c r="B65" s="522" t="s">
        <v>451</v>
      </c>
      <c r="C65" s="522" t="s">
        <v>414</v>
      </c>
      <c r="D65" s="522"/>
      <c r="E65" s="520"/>
      <c r="F65" s="520"/>
      <c r="G65" s="520"/>
    </row>
    <row r="66" spans="1:7" ht="15.6" x14ac:dyDescent="0.3">
      <c r="A66" s="521" t="s">
        <v>452</v>
      </c>
      <c r="B66" s="522" t="s">
        <v>453</v>
      </c>
      <c r="C66" s="522" t="s">
        <v>414</v>
      </c>
      <c r="D66" s="522"/>
      <c r="E66" s="520"/>
      <c r="F66" s="520"/>
      <c r="G66" s="520"/>
    </row>
    <row r="67" spans="1:7" ht="15.6" x14ac:dyDescent="0.3">
      <c r="A67" s="521" t="s">
        <v>454</v>
      </c>
      <c r="B67" s="522" t="s">
        <v>825</v>
      </c>
      <c r="C67" s="522" t="s">
        <v>414</v>
      </c>
      <c r="D67" s="522"/>
      <c r="E67" s="520"/>
      <c r="F67" s="520"/>
      <c r="G67" s="520"/>
    </row>
    <row r="68" spans="1:7" ht="15.6" x14ac:dyDescent="0.3">
      <c r="A68" s="521" t="s">
        <v>455</v>
      </c>
      <c r="B68" s="522" t="s">
        <v>456</v>
      </c>
      <c r="C68" s="522" t="s">
        <v>414</v>
      </c>
      <c r="D68" s="522"/>
      <c r="E68" s="520"/>
      <c r="F68" s="520"/>
      <c r="G68" s="520"/>
    </row>
    <row r="69" spans="1:7" ht="15.6" x14ac:dyDescent="0.3">
      <c r="A69" s="521" t="s">
        <v>457</v>
      </c>
      <c r="B69" s="522" t="s">
        <v>458</v>
      </c>
      <c r="C69" s="522" t="s">
        <v>414</v>
      </c>
      <c r="D69" s="522"/>
      <c r="E69" s="520"/>
      <c r="F69" s="520"/>
      <c r="G69" s="520"/>
    </row>
    <row r="70" spans="1:7" ht="15.6" x14ac:dyDescent="0.3">
      <c r="A70" s="521" t="s">
        <v>459</v>
      </c>
      <c r="B70" s="522" t="s">
        <v>460</v>
      </c>
      <c r="C70" s="522" t="s">
        <v>414</v>
      </c>
      <c r="D70" s="522"/>
      <c r="E70" s="520"/>
      <c r="F70" s="520"/>
      <c r="G70" s="520"/>
    </row>
    <row r="71" spans="1:7" ht="15.6" x14ac:dyDescent="0.3">
      <c r="A71" s="521" t="s">
        <v>461</v>
      </c>
      <c r="B71" s="522" t="s">
        <v>462</v>
      </c>
      <c r="C71" s="522" t="s">
        <v>414</v>
      </c>
      <c r="D71" s="522"/>
      <c r="E71" s="520"/>
      <c r="F71" s="520"/>
      <c r="G71" s="520"/>
    </row>
    <row r="72" spans="1:7" ht="15.6" x14ac:dyDescent="0.3">
      <c r="A72" s="521" t="s">
        <v>463</v>
      </c>
      <c r="B72" s="522" t="s">
        <v>464</v>
      </c>
      <c r="C72" s="522" t="s">
        <v>414</v>
      </c>
      <c r="D72" s="522"/>
      <c r="E72" s="520"/>
      <c r="F72" s="520"/>
      <c r="G72" s="520"/>
    </row>
    <row r="73" spans="1:7" ht="15.6" x14ac:dyDescent="0.3">
      <c r="A73" s="521" t="s">
        <v>465</v>
      </c>
      <c r="B73" s="522" t="s">
        <v>466</v>
      </c>
      <c r="C73" s="522" t="s">
        <v>414</v>
      </c>
      <c r="D73" s="522"/>
      <c r="E73" s="520"/>
      <c r="F73" s="520"/>
      <c r="G73" s="520"/>
    </row>
    <row r="74" spans="1:7" ht="15.6" x14ac:dyDescent="0.3">
      <c r="A74" s="521" t="s">
        <v>467</v>
      </c>
      <c r="B74" s="522" t="s">
        <v>468</v>
      </c>
      <c r="C74" s="522" t="s">
        <v>414</v>
      </c>
      <c r="D74" s="522"/>
      <c r="E74" s="520"/>
      <c r="F74" s="520"/>
      <c r="G74" s="520"/>
    </row>
    <row r="75" spans="1:7" ht="15.6" x14ac:dyDescent="0.3">
      <c r="A75" s="521" t="s">
        <v>469</v>
      </c>
      <c r="B75" s="522" t="s">
        <v>470</v>
      </c>
      <c r="C75" s="522" t="s">
        <v>414</v>
      </c>
      <c r="D75" s="522"/>
      <c r="E75" s="520"/>
      <c r="F75" s="520"/>
      <c r="G75" s="520"/>
    </row>
    <row r="76" spans="1:7" ht="15.6" x14ac:dyDescent="0.3">
      <c r="A76" s="521" t="s">
        <v>431</v>
      </c>
      <c r="B76" s="522" t="s">
        <v>831</v>
      </c>
      <c r="C76" s="522" t="s">
        <v>400</v>
      </c>
      <c r="D76" s="522"/>
      <c r="E76" s="520"/>
      <c r="F76" s="520"/>
      <c r="G76" s="520"/>
    </row>
    <row r="77" spans="1:7" ht="15.6" x14ac:dyDescent="0.3">
      <c r="A77" s="521" t="s">
        <v>594</v>
      </c>
      <c r="B77" s="522" t="s">
        <v>595</v>
      </c>
      <c r="C77" s="522" t="s">
        <v>400</v>
      </c>
      <c r="D77" s="522"/>
      <c r="E77" s="520"/>
      <c r="F77" s="520"/>
      <c r="G77" s="520"/>
    </row>
    <row r="78" spans="1:7" ht="15.6" x14ac:dyDescent="0.3">
      <c r="A78" s="521" t="s">
        <v>219</v>
      </c>
      <c r="B78" s="522" t="s">
        <v>220</v>
      </c>
      <c r="C78" s="522" t="s">
        <v>400</v>
      </c>
      <c r="D78" s="522"/>
      <c r="E78" s="520"/>
      <c r="F78" s="520"/>
      <c r="G78" s="520"/>
    </row>
    <row r="79" spans="1:7" ht="15.6" x14ac:dyDescent="0.3">
      <c r="A79" s="521" t="s">
        <v>592</v>
      </c>
      <c r="B79" s="522" t="s">
        <v>655</v>
      </c>
      <c r="C79" s="522" t="s">
        <v>400</v>
      </c>
      <c r="D79" s="522"/>
      <c r="E79" s="520"/>
      <c r="F79" s="520"/>
      <c r="G79" s="520"/>
    </row>
    <row r="80" spans="1:7" ht="15.6" x14ac:dyDescent="0.3">
      <c r="A80" s="521" t="s">
        <v>221</v>
      </c>
      <c r="B80" s="522" t="s">
        <v>222</v>
      </c>
      <c r="C80" s="522" t="s">
        <v>400</v>
      </c>
      <c r="D80" s="522"/>
      <c r="E80" s="520"/>
      <c r="F80" s="520"/>
      <c r="G80" s="520"/>
    </row>
    <row r="81" spans="1:7" ht="15.6" x14ac:dyDescent="0.3">
      <c r="A81" s="521" t="s">
        <v>223</v>
      </c>
      <c r="B81" s="522" t="s">
        <v>224</v>
      </c>
      <c r="C81" s="522" t="s">
        <v>400</v>
      </c>
      <c r="D81" s="522"/>
      <c r="E81" s="520"/>
      <c r="F81" s="520"/>
      <c r="G81" s="520"/>
    </row>
    <row r="82" spans="1:7" ht="15.6" x14ac:dyDescent="0.3">
      <c r="A82" s="521" t="s">
        <v>471</v>
      </c>
      <c r="B82" s="522" t="s">
        <v>472</v>
      </c>
      <c r="C82" s="522" t="s">
        <v>400</v>
      </c>
      <c r="D82" s="522"/>
      <c r="E82" s="520"/>
      <c r="F82" s="520"/>
      <c r="G82" s="520"/>
    </row>
    <row r="83" spans="1:7" ht="15.6" x14ac:dyDescent="0.3">
      <c r="A83" s="521" t="s">
        <v>732</v>
      </c>
      <c r="B83" s="522" t="s">
        <v>724</v>
      </c>
      <c r="C83" s="522" t="s">
        <v>400</v>
      </c>
      <c r="D83" s="522"/>
      <c r="E83" s="520"/>
      <c r="F83" s="520"/>
      <c r="G83" s="520"/>
    </row>
    <row r="84" spans="1:7" ht="15.6" x14ac:dyDescent="0.3">
      <c r="A84" s="521" t="s">
        <v>323</v>
      </c>
      <c r="B84" s="522" t="s">
        <v>225</v>
      </c>
      <c r="C84" s="522" t="s">
        <v>400</v>
      </c>
      <c r="D84" s="522"/>
      <c r="E84" s="520"/>
      <c r="F84" s="520"/>
      <c r="G84" s="520"/>
    </row>
    <row r="85" spans="1:7" ht="15.6" x14ac:dyDescent="0.3">
      <c r="A85" s="521" t="s">
        <v>87</v>
      </c>
      <c r="B85" s="522" t="s">
        <v>473</v>
      </c>
      <c r="C85" s="522" t="s">
        <v>400</v>
      </c>
      <c r="D85" s="522"/>
      <c r="E85" s="520"/>
      <c r="F85" s="520"/>
      <c r="G85" s="520"/>
    </row>
    <row r="86" spans="1:7" ht="15.6" x14ac:dyDescent="0.3">
      <c r="A86" s="521" t="s">
        <v>657</v>
      </c>
      <c r="B86" s="522" t="s">
        <v>840</v>
      </c>
      <c r="C86" s="522" t="s">
        <v>414</v>
      </c>
      <c r="D86" s="522"/>
      <c r="E86" s="520"/>
      <c r="F86" s="520"/>
      <c r="G86" s="520"/>
    </row>
    <row r="87" spans="1:7" ht="15.6" x14ac:dyDescent="0.3">
      <c r="A87" s="521" t="s">
        <v>935</v>
      </c>
      <c r="B87" s="522" t="s">
        <v>936</v>
      </c>
      <c r="C87" s="522" t="s">
        <v>400</v>
      </c>
      <c r="D87" s="522"/>
      <c r="E87" s="520"/>
      <c r="F87" s="520"/>
      <c r="G87" s="520"/>
    </row>
    <row r="88" spans="1:7" ht="15.6" x14ac:dyDescent="0.3">
      <c r="A88" s="521" t="s">
        <v>474</v>
      </c>
      <c r="B88" s="522" t="s">
        <v>475</v>
      </c>
      <c r="C88" s="522" t="s">
        <v>476</v>
      </c>
      <c r="D88" s="522"/>
      <c r="E88" s="520"/>
      <c r="F88" s="520"/>
      <c r="G88" s="520"/>
    </row>
    <row r="89" spans="1:7" ht="15.6" x14ac:dyDescent="0.3">
      <c r="A89" s="521" t="s">
        <v>477</v>
      </c>
      <c r="B89" s="522" t="s">
        <v>478</v>
      </c>
      <c r="C89" s="522" t="s">
        <v>476</v>
      </c>
      <c r="D89" s="522"/>
      <c r="E89" s="520"/>
      <c r="F89" s="520"/>
      <c r="G89" s="520"/>
    </row>
    <row r="90" spans="1:7" ht="15.6" x14ac:dyDescent="0.3">
      <c r="A90" s="521" t="s">
        <v>479</v>
      </c>
      <c r="B90" s="522" t="s">
        <v>480</v>
      </c>
      <c r="C90" s="522" t="s">
        <v>476</v>
      </c>
      <c r="D90" s="522"/>
      <c r="E90" s="520"/>
      <c r="F90" s="520"/>
      <c r="G90" s="520"/>
    </row>
    <row r="91" spans="1:7" ht="15.6" x14ac:dyDescent="0.3">
      <c r="A91" s="521" t="s">
        <v>481</v>
      </c>
      <c r="B91" s="522" t="s">
        <v>482</v>
      </c>
      <c r="C91" s="522" t="s">
        <v>476</v>
      </c>
      <c r="D91" s="522"/>
      <c r="E91" s="520"/>
      <c r="F91" s="520"/>
      <c r="G91" s="520"/>
    </row>
    <row r="92" spans="1:7" ht="15.6" x14ac:dyDescent="0.3">
      <c r="A92" s="521" t="s">
        <v>483</v>
      </c>
      <c r="B92" s="522" t="s">
        <v>484</v>
      </c>
      <c r="C92" s="522" t="s">
        <v>476</v>
      </c>
      <c r="D92" s="522"/>
      <c r="E92" s="520"/>
      <c r="F92" s="520"/>
      <c r="G92" s="520"/>
    </row>
    <row r="93" spans="1:7" ht="15.6" x14ac:dyDescent="0.3">
      <c r="A93" s="521" t="s">
        <v>485</v>
      </c>
      <c r="B93" s="522" t="s">
        <v>486</v>
      </c>
      <c r="C93" s="522" t="s">
        <v>476</v>
      </c>
      <c r="D93" s="522"/>
      <c r="E93" s="520"/>
      <c r="F93" s="520"/>
      <c r="G93" s="520"/>
    </row>
    <row r="94" spans="1:7" ht="15.6" x14ac:dyDescent="0.3">
      <c r="A94" s="521" t="s">
        <v>487</v>
      </c>
      <c r="B94" s="522" t="s">
        <v>488</v>
      </c>
      <c r="C94" s="522" t="s">
        <v>476</v>
      </c>
      <c r="D94" s="522"/>
      <c r="E94" s="520"/>
      <c r="F94" s="520"/>
      <c r="G94" s="520"/>
    </row>
    <row r="95" spans="1:7" ht="15.6" x14ac:dyDescent="0.3">
      <c r="A95" s="521" t="s">
        <v>489</v>
      </c>
      <c r="B95" s="522" t="s">
        <v>490</v>
      </c>
      <c r="C95" s="522" t="s">
        <v>476</v>
      </c>
      <c r="D95" s="522"/>
      <c r="E95" s="520"/>
      <c r="F95" s="520"/>
      <c r="G95" s="520"/>
    </row>
    <row r="96" spans="1:7" ht="15.6" x14ac:dyDescent="0.3">
      <c r="A96" s="521" t="s">
        <v>491</v>
      </c>
      <c r="B96" s="522" t="s">
        <v>492</v>
      </c>
      <c r="C96" s="522" t="s">
        <v>476</v>
      </c>
      <c r="D96" s="522"/>
      <c r="E96" s="520"/>
      <c r="F96" s="520"/>
      <c r="G96" s="520"/>
    </row>
    <row r="97" spans="1:7" ht="15.6" x14ac:dyDescent="0.3">
      <c r="A97" s="521" t="s">
        <v>842</v>
      </c>
      <c r="B97" s="522" t="s">
        <v>843</v>
      </c>
      <c r="C97" s="522" t="s">
        <v>476</v>
      </c>
      <c r="D97" s="522"/>
      <c r="E97" s="520"/>
      <c r="F97" s="520"/>
      <c r="G97" s="520"/>
    </row>
    <row r="98" spans="1:7" ht="15.6" x14ac:dyDescent="0.3">
      <c r="A98" s="521" t="s">
        <v>844</v>
      </c>
      <c r="B98" s="522" t="s">
        <v>845</v>
      </c>
      <c r="C98" s="522" t="s">
        <v>476</v>
      </c>
      <c r="D98" s="522"/>
      <c r="E98" s="520"/>
      <c r="F98" s="520"/>
      <c r="G98" s="520"/>
    </row>
    <row r="99" spans="1:7" ht="15.6" x14ac:dyDescent="0.3">
      <c r="A99" s="521" t="s">
        <v>493</v>
      </c>
      <c r="B99" s="522" t="s">
        <v>846</v>
      </c>
      <c r="C99" s="522" t="s">
        <v>476</v>
      </c>
      <c r="D99" s="522"/>
      <c r="E99" s="520"/>
      <c r="F99" s="520"/>
      <c r="G99" s="520"/>
    </row>
    <row r="100" spans="1:7" ht="15.6" x14ac:dyDescent="0.3">
      <c r="A100" s="521" t="s">
        <v>494</v>
      </c>
      <c r="B100" s="522" t="s">
        <v>495</v>
      </c>
      <c r="C100" s="522" t="s">
        <v>476</v>
      </c>
      <c r="D100" s="522"/>
      <c r="E100" s="520"/>
      <c r="F100" s="520"/>
      <c r="G100" s="520"/>
    </row>
    <row r="101" spans="1:7" ht="15.6" x14ac:dyDescent="0.3">
      <c r="A101" s="521" t="s">
        <v>496</v>
      </c>
      <c r="B101" s="522" t="s">
        <v>497</v>
      </c>
      <c r="C101" s="522" t="s">
        <v>476</v>
      </c>
      <c r="D101" s="522"/>
      <c r="E101" s="520"/>
      <c r="F101" s="520"/>
      <c r="G101" s="520"/>
    </row>
    <row r="102" spans="1:7" ht="15.6" x14ac:dyDescent="0.3">
      <c r="A102" s="521" t="s">
        <v>498</v>
      </c>
      <c r="B102" s="522" t="s">
        <v>499</v>
      </c>
      <c r="C102" s="522" t="s">
        <v>476</v>
      </c>
      <c r="D102" s="522"/>
      <c r="E102" s="520"/>
      <c r="F102" s="520"/>
      <c r="G102" s="520"/>
    </row>
    <row r="103" spans="1:7" ht="15.6" x14ac:dyDescent="0.3">
      <c r="A103" s="521" t="s">
        <v>500</v>
      </c>
      <c r="B103" s="522" t="s">
        <v>501</v>
      </c>
      <c r="C103" s="522" t="s">
        <v>476</v>
      </c>
      <c r="D103" s="522"/>
      <c r="E103" s="520"/>
      <c r="F103" s="520"/>
      <c r="G103" s="520"/>
    </row>
    <row r="104" spans="1:7" ht="15.6" x14ac:dyDescent="0.3">
      <c r="A104" s="521" t="s">
        <v>502</v>
      </c>
      <c r="B104" s="522" t="s">
        <v>503</v>
      </c>
      <c r="C104" s="522" t="s">
        <v>476</v>
      </c>
      <c r="D104" s="522"/>
      <c r="E104" s="520"/>
      <c r="F104" s="520"/>
      <c r="G104" s="520"/>
    </row>
    <row r="105" spans="1:7" ht="15.6" x14ac:dyDescent="0.3">
      <c r="A105" s="521" t="s">
        <v>504</v>
      </c>
      <c r="B105" s="522" t="s">
        <v>505</v>
      </c>
      <c r="C105" s="522" t="s">
        <v>476</v>
      </c>
      <c r="D105" s="522"/>
      <c r="E105" s="520"/>
      <c r="F105" s="520"/>
      <c r="G105" s="520"/>
    </row>
    <row r="106" spans="1:7" ht="15.6" x14ac:dyDescent="0.3">
      <c r="A106" s="521" t="s">
        <v>848</v>
      </c>
      <c r="B106" s="522" t="s">
        <v>849</v>
      </c>
      <c r="C106" s="522" t="s">
        <v>476</v>
      </c>
      <c r="D106" s="522"/>
      <c r="E106" s="520"/>
      <c r="F106" s="520"/>
      <c r="G106" s="520"/>
    </row>
    <row r="107" spans="1:7" ht="15.6" x14ac:dyDescent="0.3">
      <c r="A107" s="521" t="s">
        <v>850</v>
      </c>
      <c r="B107" s="522" t="s">
        <v>851</v>
      </c>
      <c r="C107" s="522" t="s">
        <v>476</v>
      </c>
      <c r="D107" s="522"/>
      <c r="E107" s="520"/>
      <c r="F107" s="520"/>
      <c r="G107" s="520"/>
    </row>
    <row r="108" spans="1:7" ht="15.6" x14ac:dyDescent="0.3">
      <c r="A108" s="521" t="s">
        <v>853</v>
      </c>
      <c r="B108" s="522" t="s">
        <v>854</v>
      </c>
      <c r="C108" s="522" t="s">
        <v>476</v>
      </c>
      <c r="D108" s="522"/>
      <c r="E108" s="520"/>
      <c r="F108" s="520"/>
      <c r="G108" s="520"/>
    </row>
    <row r="109" spans="1:7" ht="15.6" x14ac:dyDescent="0.3">
      <c r="A109" s="521" t="s">
        <v>506</v>
      </c>
      <c r="B109" s="522" t="s">
        <v>507</v>
      </c>
      <c r="C109" s="522" t="s">
        <v>476</v>
      </c>
      <c r="D109" s="522"/>
      <c r="E109" s="520"/>
      <c r="F109" s="520"/>
      <c r="G109" s="520"/>
    </row>
    <row r="110" spans="1:7" ht="15.6" x14ac:dyDescent="0.3">
      <c r="A110" s="521" t="s">
        <v>508</v>
      </c>
      <c r="B110" s="522" t="s">
        <v>509</v>
      </c>
      <c r="C110" s="522" t="s">
        <v>476</v>
      </c>
      <c r="D110" s="522"/>
      <c r="E110" s="520"/>
      <c r="F110" s="520"/>
      <c r="G110" s="520"/>
    </row>
    <row r="111" spans="1:7" ht="15.6" x14ac:dyDescent="0.3">
      <c r="A111" s="521" t="s">
        <v>510</v>
      </c>
      <c r="B111" s="522" t="s">
        <v>511</v>
      </c>
      <c r="C111" s="522" t="s">
        <v>476</v>
      </c>
      <c r="D111" s="522"/>
      <c r="E111" s="520"/>
      <c r="F111" s="520"/>
      <c r="G111" s="520"/>
    </row>
    <row r="112" spans="1:7" ht="15.6" x14ac:dyDescent="0.3">
      <c r="A112" s="521" t="s">
        <v>512</v>
      </c>
      <c r="B112" s="522" t="s">
        <v>513</v>
      </c>
      <c r="C112" s="522" t="s">
        <v>476</v>
      </c>
      <c r="D112" s="522"/>
      <c r="E112" s="520"/>
      <c r="F112" s="520"/>
      <c r="G112" s="520"/>
    </row>
    <row r="113" spans="1:7" ht="15.6" x14ac:dyDescent="0.3">
      <c r="A113" s="521" t="s">
        <v>514</v>
      </c>
      <c r="B113" s="522" t="s">
        <v>515</v>
      </c>
      <c r="C113" s="522" t="s">
        <v>476</v>
      </c>
      <c r="D113" s="522"/>
      <c r="E113" s="520"/>
      <c r="F113" s="520"/>
      <c r="G113" s="520"/>
    </row>
    <row r="114" spans="1:7" ht="15.6" x14ac:dyDescent="0.3">
      <c r="A114" s="521" t="s">
        <v>516</v>
      </c>
      <c r="B114" s="522" t="s">
        <v>517</v>
      </c>
      <c r="C114" s="522" t="s">
        <v>476</v>
      </c>
      <c r="D114" s="522"/>
      <c r="E114" s="520"/>
      <c r="F114" s="520"/>
      <c r="G114" s="520"/>
    </row>
    <row r="115" spans="1:7" ht="15.6" x14ac:dyDescent="0.3">
      <c r="A115" s="521" t="s">
        <v>518</v>
      </c>
      <c r="B115" s="522" t="s">
        <v>519</v>
      </c>
      <c r="C115" s="522" t="s">
        <v>476</v>
      </c>
      <c r="D115" s="522"/>
      <c r="E115" s="520"/>
      <c r="F115" s="520"/>
      <c r="G115" s="520"/>
    </row>
    <row r="116" spans="1:7" ht="15.6" x14ac:dyDescent="0.3">
      <c r="A116" s="521" t="s">
        <v>520</v>
      </c>
      <c r="B116" s="522" t="s">
        <v>521</v>
      </c>
      <c r="C116" s="522" t="s">
        <v>476</v>
      </c>
      <c r="D116" s="522"/>
      <c r="E116" s="520"/>
      <c r="F116" s="520"/>
      <c r="G116" s="520"/>
    </row>
    <row r="117" spans="1:7" ht="15.6" x14ac:dyDescent="0.3">
      <c r="A117" s="521" t="s">
        <v>857</v>
      </c>
      <c r="B117" s="522" t="s">
        <v>858</v>
      </c>
      <c r="C117" s="522" t="s">
        <v>476</v>
      </c>
      <c r="D117" s="522"/>
      <c r="E117" s="520"/>
      <c r="F117" s="520"/>
      <c r="G117" s="520"/>
    </row>
    <row r="118" spans="1:7" ht="15.6" x14ac:dyDescent="0.3">
      <c r="A118" s="521" t="s">
        <v>522</v>
      </c>
      <c r="B118" s="522" t="s">
        <v>523</v>
      </c>
      <c r="C118" s="522" t="s">
        <v>476</v>
      </c>
      <c r="D118" s="522"/>
      <c r="E118" s="520"/>
      <c r="F118" s="520"/>
      <c r="G118" s="520"/>
    </row>
    <row r="119" spans="1:7" ht="15.6" x14ac:dyDescent="0.3">
      <c r="A119" s="521" t="s">
        <v>524</v>
      </c>
      <c r="B119" s="522" t="s">
        <v>525</v>
      </c>
      <c r="C119" s="522" t="s">
        <v>476</v>
      </c>
      <c r="D119" s="522"/>
      <c r="E119" s="520"/>
      <c r="F119" s="520"/>
      <c r="G119" s="520"/>
    </row>
    <row r="120" spans="1:7" ht="15.6" x14ac:dyDescent="0.3">
      <c r="A120" s="521" t="s">
        <v>526</v>
      </c>
      <c r="B120" s="522" t="s">
        <v>527</v>
      </c>
      <c r="C120" s="522" t="s">
        <v>476</v>
      </c>
      <c r="D120" s="522"/>
      <c r="E120" s="520"/>
      <c r="F120" s="520"/>
      <c r="G120" s="520"/>
    </row>
    <row r="121" spans="1:7" ht="15.6" x14ac:dyDescent="0.3">
      <c r="A121" s="521" t="s">
        <v>528</v>
      </c>
      <c r="B121" s="522" t="s">
        <v>529</v>
      </c>
      <c r="C121" s="522" t="s">
        <v>476</v>
      </c>
      <c r="D121" s="522"/>
      <c r="E121" s="520"/>
      <c r="F121" s="520"/>
      <c r="G121" s="520"/>
    </row>
    <row r="122" spans="1:7" ht="15.6" x14ac:dyDescent="0.3">
      <c r="A122" s="521" t="s">
        <v>530</v>
      </c>
      <c r="B122" s="522" t="s">
        <v>531</v>
      </c>
      <c r="C122" s="522" t="s">
        <v>476</v>
      </c>
      <c r="D122" s="522"/>
      <c r="E122" s="520"/>
      <c r="F122" s="520"/>
      <c r="G122" s="520"/>
    </row>
    <row r="123" spans="1:7" ht="15.6" x14ac:dyDescent="0.3">
      <c r="A123" s="521" t="s">
        <v>532</v>
      </c>
      <c r="B123" s="522" t="s">
        <v>533</v>
      </c>
      <c r="C123" s="522" t="s">
        <v>476</v>
      </c>
      <c r="D123" s="522"/>
      <c r="E123" s="520"/>
      <c r="F123" s="520"/>
      <c r="G123" s="520"/>
    </row>
    <row r="124" spans="1:7" ht="15.6" x14ac:dyDescent="0.3">
      <c r="A124" s="521" t="s">
        <v>534</v>
      </c>
      <c r="B124" s="522" t="s">
        <v>535</v>
      </c>
      <c r="C124" s="522" t="s">
        <v>476</v>
      </c>
      <c r="D124" s="522"/>
      <c r="E124" s="520"/>
      <c r="F124" s="520"/>
      <c r="G124" s="520"/>
    </row>
    <row r="125" spans="1:7" ht="15.6" x14ac:dyDescent="0.3">
      <c r="A125" s="521" t="s">
        <v>536</v>
      </c>
      <c r="B125" s="522" t="s">
        <v>537</v>
      </c>
      <c r="C125" s="522" t="s">
        <v>476</v>
      </c>
      <c r="D125" s="522"/>
      <c r="E125" s="520"/>
      <c r="F125" s="520"/>
      <c r="G125" s="520"/>
    </row>
    <row r="126" spans="1:7" ht="15.6" x14ac:dyDescent="0.3">
      <c r="A126" s="521" t="s">
        <v>538</v>
      </c>
      <c r="B126" s="522" t="s">
        <v>539</v>
      </c>
      <c r="C126" s="522" t="s">
        <v>476</v>
      </c>
      <c r="D126" s="522"/>
      <c r="E126" s="520"/>
      <c r="F126" s="520"/>
      <c r="G126" s="520"/>
    </row>
    <row r="127" spans="1:7" ht="15.6" x14ac:dyDescent="0.3">
      <c r="A127" s="521" t="s">
        <v>861</v>
      </c>
      <c r="B127" s="522" t="s">
        <v>862</v>
      </c>
      <c r="C127" s="522" t="s">
        <v>476</v>
      </c>
      <c r="D127" s="522"/>
      <c r="E127" s="520"/>
      <c r="F127" s="520"/>
      <c r="G127" s="520"/>
    </row>
    <row r="128" spans="1:7" ht="15.6" x14ac:dyDescent="0.3">
      <c r="A128" s="521" t="s">
        <v>540</v>
      </c>
      <c r="B128" s="522" t="s">
        <v>541</v>
      </c>
      <c r="C128" s="522" t="s">
        <v>476</v>
      </c>
      <c r="D128" s="522"/>
      <c r="E128" s="520"/>
      <c r="F128" s="520"/>
      <c r="G128" s="520"/>
    </row>
    <row r="129" spans="1:7" ht="15.6" x14ac:dyDescent="0.3">
      <c r="A129" s="521" t="s">
        <v>542</v>
      </c>
      <c r="B129" s="522" t="s">
        <v>543</v>
      </c>
      <c r="C129" s="522" t="s">
        <v>476</v>
      </c>
      <c r="D129" s="522"/>
      <c r="E129" s="520"/>
      <c r="F129" s="520"/>
      <c r="G129" s="520"/>
    </row>
    <row r="130" spans="1:7" ht="15.6" x14ac:dyDescent="0.3">
      <c r="A130" s="521" t="s">
        <v>544</v>
      </c>
      <c r="B130" s="522" t="s">
        <v>545</v>
      </c>
      <c r="C130" s="522" t="s">
        <v>476</v>
      </c>
      <c r="D130" s="522"/>
      <c r="E130" s="520"/>
      <c r="F130" s="520"/>
      <c r="G130" s="520"/>
    </row>
    <row r="131" spans="1:7" ht="15.6" x14ac:dyDescent="0.3">
      <c r="A131" s="521" t="s">
        <v>546</v>
      </c>
      <c r="B131" s="522" t="s">
        <v>547</v>
      </c>
      <c r="C131" s="522" t="s">
        <v>476</v>
      </c>
      <c r="D131" s="522"/>
      <c r="E131" s="520"/>
      <c r="F131" s="520"/>
      <c r="G131" s="520"/>
    </row>
    <row r="132" spans="1:7" ht="15.6" x14ac:dyDescent="0.3">
      <c r="A132" s="521" t="s">
        <v>548</v>
      </c>
      <c r="B132" s="522" t="s">
        <v>549</v>
      </c>
      <c r="C132" s="522" t="s">
        <v>476</v>
      </c>
      <c r="D132" s="522"/>
      <c r="E132" s="520"/>
      <c r="F132" s="520"/>
      <c r="G132" s="520"/>
    </row>
    <row r="133" spans="1:7" ht="15.6" x14ac:dyDescent="0.3">
      <c r="A133" s="521" t="s">
        <v>550</v>
      </c>
      <c r="B133" s="522" t="s">
        <v>551</v>
      </c>
      <c r="C133" s="522" t="s">
        <v>476</v>
      </c>
      <c r="D133" s="522"/>
      <c r="E133" s="520"/>
      <c r="F133" s="520"/>
      <c r="G133" s="520"/>
    </row>
    <row r="134" spans="1:7" ht="15.6" x14ac:dyDescent="0.3">
      <c r="A134" s="521" t="s">
        <v>552</v>
      </c>
      <c r="B134" s="522" t="s">
        <v>553</v>
      </c>
      <c r="C134" s="522" t="s">
        <v>476</v>
      </c>
      <c r="D134" s="522"/>
      <c r="E134" s="520"/>
      <c r="F134" s="520"/>
      <c r="G134" s="520"/>
    </row>
    <row r="135" spans="1:7" ht="15.6" x14ac:dyDescent="0.3">
      <c r="A135" s="521" t="s">
        <v>554</v>
      </c>
      <c r="B135" s="522" t="s">
        <v>555</v>
      </c>
      <c r="C135" s="522" t="s">
        <v>476</v>
      </c>
      <c r="D135" s="522"/>
      <c r="E135" s="520"/>
      <c r="F135" s="520"/>
      <c r="G135" s="520"/>
    </row>
    <row r="136" spans="1:7" ht="15.6" x14ac:dyDescent="0.3">
      <c r="A136" s="521" t="s">
        <v>556</v>
      </c>
      <c r="B136" s="522" t="s">
        <v>557</v>
      </c>
      <c r="C136" s="522" t="s">
        <v>476</v>
      </c>
      <c r="D136" s="522"/>
      <c r="E136" s="520"/>
      <c r="F136" s="520"/>
      <c r="G136" s="520"/>
    </row>
    <row r="137" spans="1:7" ht="15.6" x14ac:dyDescent="0.3">
      <c r="A137" s="521" t="s">
        <v>867</v>
      </c>
      <c r="B137" s="522" t="s">
        <v>868</v>
      </c>
      <c r="C137" s="522" t="s">
        <v>476</v>
      </c>
      <c r="D137" s="522"/>
      <c r="E137" s="520"/>
      <c r="F137" s="520"/>
      <c r="G137" s="520"/>
    </row>
    <row r="138" spans="1:7" ht="15.6" x14ac:dyDescent="0.3">
      <c r="A138" s="521" t="s">
        <v>558</v>
      </c>
      <c r="B138" s="522" t="s">
        <v>559</v>
      </c>
      <c r="C138" s="522" t="s">
        <v>476</v>
      </c>
      <c r="D138" s="522"/>
      <c r="E138" s="520"/>
      <c r="F138" s="520"/>
      <c r="G138" s="520"/>
    </row>
    <row r="139" spans="1:7" ht="15.6" x14ac:dyDescent="0.3">
      <c r="A139" s="521" t="s">
        <v>560</v>
      </c>
      <c r="B139" s="522" t="s">
        <v>561</v>
      </c>
      <c r="C139" s="522" t="s">
        <v>476</v>
      </c>
      <c r="D139" s="522"/>
      <c r="E139" s="520"/>
      <c r="F139" s="520"/>
      <c r="G139" s="520"/>
    </row>
    <row r="140" spans="1:7" ht="15.6" x14ac:dyDescent="0.3">
      <c r="A140" s="521" t="s">
        <v>562</v>
      </c>
      <c r="B140" s="522" t="s">
        <v>563</v>
      </c>
      <c r="C140" s="522" t="s">
        <v>476</v>
      </c>
      <c r="D140" s="522"/>
      <c r="E140" s="520"/>
      <c r="F140" s="520"/>
      <c r="G140" s="520"/>
    </row>
    <row r="141" spans="1:7" ht="15.6" x14ac:dyDescent="0.3">
      <c r="A141" s="521" t="s">
        <v>564</v>
      </c>
      <c r="B141" s="522" t="s">
        <v>565</v>
      </c>
      <c r="C141" s="522" t="s">
        <v>476</v>
      </c>
      <c r="D141" s="522"/>
      <c r="E141" s="520"/>
      <c r="F141" s="520"/>
      <c r="G141" s="520"/>
    </row>
    <row r="142" spans="1:7" ht="15.6" x14ac:dyDescent="0.3">
      <c r="A142" s="521" t="s">
        <v>566</v>
      </c>
      <c r="B142" s="522" t="s">
        <v>567</v>
      </c>
      <c r="C142" s="522" t="s">
        <v>476</v>
      </c>
      <c r="D142" s="522"/>
      <c r="E142" s="520"/>
      <c r="F142" s="520"/>
      <c r="G142" s="520"/>
    </row>
    <row r="143" spans="1:7" ht="15.6" x14ac:dyDescent="0.3">
      <c r="A143" s="521" t="s">
        <v>568</v>
      </c>
      <c r="B143" s="522" t="s">
        <v>569</v>
      </c>
      <c r="C143" s="522" t="s">
        <v>476</v>
      </c>
      <c r="D143" s="522"/>
      <c r="E143" s="520"/>
      <c r="F143" s="520"/>
      <c r="G143" s="520"/>
    </row>
    <row r="144" spans="1:7" ht="15.6" x14ac:dyDescent="0.3">
      <c r="A144" s="521" t="s">
        <v>570</v>
      </c>
      <c r="B144" s="522" t="s">
        <v>571</v>
      </c>
      <c r="C144" s="522" t="s">
        <v>476</v>
      </c>
      <c r="D144" s="522"/>
      <c r="E144" s="520"/>
      <c r="F144" s="520"/>
      <c r="G144" s="520"/>
    </row>
    <row r="145" spans="1:7" ht="15.6" x14ac:dyDescent="0.3">
      <c r="A145" s="521" t="s">
        <v>572</v>
      </c>
      <c r="B145" s="522" t="s">
        <v>573</v>
      </c>
      <c r="C145" s="522" t="s">
        <v>476</v>
      </c>
      <c r="D145" s="522"/>
      <c r="E145" s="520"/>
      <c r="F145" s="520"/>
      <c r="G145" s="520"/>
    </row>
  </sheetData>
  <sheetProtection algorithmName="SHA-512" hashValue="OTqkpltrH9lgR0cui6weVEUqmPD23mliBs6PQ1Lorhm4hHIyak3wmFk1gTHEEU0CAN5MH1kAmMRUVE4uyi+ngA==" saltValue="TPJ/n1zu9W+s4yV5jjiADA==" spinCount="100000" sheet="1" objects="1" scenarios="1" autoFilter="0"/>
  <mergeCells count="5">
    <mergeCell ref="A13:G13"/>
    <mergeCell ref="D49:G49"/>
    <mergeCell ref="D50:G50"/>
    <mergeCell ref="D15:G15"/>
    <mergeCell ref="D16:G16"/>
  </mergeCells>
  <phoneticPr fontId="1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2"/>
  <dimension ref="A1:T189"/>
  <sheetViews>
    <sheetView showGridLines="0" zoomScaleNormal="100" workbookViewId="0">
      <selection activeCell="I25" sqref="I25"/>
    </sheetView>
  </sheetViews>
  <sheetFormatPr defaultRowHeight="13.2" x14ac:dyDescent="0.25"/>
  <cols>
    <col min="1" max="1" width="3.5546875" customWidth="1"/>
    <col min="2" max="2" width="8.5546875" customWidth="1"/>
    <col min="3" max="3" width="5.5546875" customWidth="1"/>
    <col min="4" max="4" width="28.5546875" customWidth="1"/>
    <col min="5" max="5" width="10.5546875" customWidth="1"/>
    <col min="6" max="6" width="16.44140625" style="116" customWidth="1"/>
    <col min="7" max="7" width="15.5546875" style="116" customWidth="1"/>
    <col min="8" max="8" width="4.5546875" customWidth="1"/>
  </cols>
  <sheetData>
    <row r="1" spans="1:20" ht="25.2" customHeight="1" x14ac:dyDescent="0.3">
      <c r="A1" s="854" t="str">
        <f>+Index!$A$1</f>
        <v>Office of the State Controller</v>
      </c>
      <c r="B1" s="854"/>
      <c r="C1" s="854"/>
      <c r="D1" s="854"/>
      <c r="E1" s="854"/>
      <c r="F1" s="854"/>
      <c r="G1" s="854"/>
      <c r="H1" s="804" t="str">
        <f>IF(Index!$B$42="na","NA","")</f>
        <v/>
      </c>
      <c r="I1" s="21"/>
      <c r="J1" s="21"/>
      <c r="K1" s="21"/>
      <c r="L1" s="21"/>
      <c r="M1" s="21"/>
      <c r="N1" s="21"/>
      <c r="O1" s="21"/>
      <c r="P1" s="21"/>
      <c r="Q1" s="21"/>
      <c r="R1" s="21"/>
      <c r="S1" s="21"/>
    </row>
    <row r="2" spans="1:20" ht="16.5" customHeight="1" x14ac:dyDescent="0.3">
      <c r="A2" s="855" t="str">
        <f>+Index!$A$2</f>
        <v>2022 ACFR Worksheets for Nonmajor Component Units</v>
      </c>
      <c r="B2" s="855"/>
      <c r="C2" s="855"/>
      <c r="D2" s="855"/>
      <c r="E2" s="855"/>
      <c r="F2" s="855"/>
      <c r="G2" s="855"/>
      <c r="H2" s="804"/>
      <c r="I2" s="114"/>
      <c r="J2" s="114"/>
      <c r="K2" s="114"/>
      <c r="L2" s="115"/>
      <c r="M2" s="115"/>
      <c r="N2" s="115"/>
      <c r="O2" s="115"/>
      <c r="P2" s="115"/>
      <c r="Q2" s="115"/>
      <c r="R2" s="115"/>
      <c r="S2" s="115"/>
    </row>
    <row r="3" spans="1:20" ht="16.5" customHeight="1" x14ac:dyDescent="0.3">
      <c r="A3" s="844" t="s">
        <v>198</v>
      </c>
      <c r="B3" s="844"/>
      <c r="C3" s="844"/>
      <c r="D3" s="844"/>
      <c r="E3" s="844"/>
      <c r="F3" s="844"/>
      <c r="G3" s="844"/>
      <c r="H3" s="804"/>
      <c r="I3" s="114"/>
      <c r="J3" s="114"/>
      <c r="K3" s="114"/>
      <c r="L3" s="115"/>
      <c r="M3" s="115"/>
      <c r="N3" s="115"/>
      <c r="O3" s="115"/>
      <c r="P3" s="115"/>
      <c r="Q3" s="115"/>
      <c r="R3" s="115"/>
      <c r="S3" s="115"/>
    </row>
    <row r="4" spans="1:20" ht="7.5" customHeight="1" x14ac:dyDescent="0.25"/>
    <row r="5" spans="1:20" s="117" customFormat="1" ht="13.8" x14ac:dyDescent="0.25">
      <c r="A5" s="166" t="s">
        <v>357</v>
      </c>
      <c r="C5" s="856" t="str">
        <f>Index!D10</f>
        <v>0A</v>
      </c>
      <c r="D5" s="857"/>
      <c r="E5" s="167" t="s">
        <v>180</v>
      </c>
      <c r="F5" s="865">
        <f>+Index!D14</f>
        <v>0</v>
      </c>
      <c r="G5" s="865"/>
      <c r="L5" s="118"/>
      <c r="T5" s="119"/>
    </row>
    <row r="6" spans="1:20" s="117" customFormat="1" ht="16.5" customHeight="1" x14ac:dyDescent="0.25">
      <c r="A6" s="166" t="s">
        <v>358</v>
      </c>
      <c r="C6" s="856" t="str">
        <f>Index!D11</f>
        <v>NC Housing Finance Agency</v>
      </c>
      <c r="D6" s="857"/>
      <c r="E6" s="167" t="s">
        <v>181</v>
      </c>
      <c r="F6" s="865">
        <f>+Index!$D$16</f>
        <v>0</v>
      </c>
      <c r="G6" s="865"/>
      <c r="L6" s="120"/>
      <c r="M6" s="120"/>
      <c r="N6" s="120"/>
      <c r="O6" s="120"/>
      <c r="P6" s="120"/>
      <c r="Q6" s="120"/>
      <c r="R6" s="120"/>
      <c r="S6" s="121"/>
      <c r="T6" s="119"/>
    </row>
    <row r="7" spans="1:20" s="117" customFormat="1" ht="16.5" customHeight="1" x14ac:dyDescent="0.25">
      <c r="A7" s="166" t="s">
        <v>20</v>
      </c>
      <c r="C7" s="168">
        <f>+Index!D13</f>
        <v>2611</v>
      </c>
      <c r="D7" s="164"/>
      <c r="E7" s="167" t="s">
        <v>196</v>
      </c>
      <c r="F7" s="865">
        <f>+Index!D15</f>
        <v>0</v>
      </c>
      <c r="G7" s="865"/>
      <c r="T7" s="119"/>
    </row>
    <row r="8" spans="1:20" s="123" customFormat="1" ht="14.4" customHeight="1" x14ac:dyDescent="0.25">
      <c r="B8" s="138"/>
      <c r="C8" s="491" t="str">
        <f>IF(C7=2627,"This worksheet does not apply to the NC Railroad, GASB 2627; Railroad should key to the FASB Stmts"," ")</f>
        <v xml:space="preserve"> </v>
      </c>
      <c r="D8" s="138"/>
      <c r="E8" s="138"/>
      <c r="F8" s="138"/>
      <c r="G8" s="492"/>
    </row>
    <row r="9" spans="1:20" s="123" customFormat="1" ht="14.1" customHeight="1" thickBot="1" x14ac:dyDescent="0.3">
      <c r="A9" s="859"/>
      <c r="B9" s="859"/>
      <c r="C9" s="859"/>
      <c r="D9" s="859"/>
      <c r="E9" s="859"/>
      <c r="F9" s="859"/>
      <c r="G9" s="859"/>
    </row>
    <row r="10" spans="1:20" x14ac:dyDescent="0.25">
      <c r="B10" s="858" t="s">
        <v>682</v>
      </c>
      <c r="C10" s="858"/>
      <c r="D10" s="858"/>
      <c r="E10" s="858"/>
      <c r="F10" s="190" t="str">
        <f>TEXT(Data!$A$2,"mmmm d,yyyy")</f>
        <v>June 30,2022</v>
      </c>
      <c r="G10" s="6"/>
    </row>
    <row r="11" spans="1:20" x14ac:dyDescent="0.25">
      <c r="B11" s="124" t="s">
        <v>260</v>
      </c>
      <c r="C11" s="124"/>
      <c r="H11" s="124"/>
      <c r="I11" s="124"/>
      <c r="J11" s="124"/>
      <c r="K11" s="124"/>
    </row>
    <row r="12" spans="1:20" x14ac:dyDescent="0.25">
      <c r="B12" s="125" t="s">
        <v>106</v>
      </c>
      <c r="C12" s="125"/>
      <c r="H12" s="125"/>
      <c r="I12" s="125"/>
      <c r="J12" s="125"/>
      <c r="K12" s="125"/>
    </row>
    <row r="13" spans="1:20" x14ac:dyDescent="0.25">
      <c r="A13" s="134">
        <v>100</v>
      </c>
      <c r="B13" s="848" t="s">
        <v>107</v>
      </c>
      <c r="C13" s="848"/>
      <c r="D13" s="848"/>
      <c r="E13" s="848"/>
      <c r="F13" s="314">
        <v>0</v>
      </c>
      <c r="G13" s="126"/>
      <c r="H13" s="127"/>
      <c r="I13" s="165"/>
      <c r="J13" s="127"/>
      <c r="K13" s="127"/>
    </row>
    <row r="14" spans="1:20" x14ac:dyDescent="0.25">
      <c r="A14" s="134">
        <v>110</v>
      </c>
      <c r="B14" s="848" t="s">
        <v>108</v>
      </c>
      <c r="C14" s="848"/>
      <c r="D14" s="848"/>
      <c r="E14" s="848"/>
      <c r="F14" s="313">
        <v>0</v>
      </c>
      <c r="G14" s="177"/>
      <c r="H14" s="177"/>
      <c r="I14" s="177"/>
      <c r="J14" s="127"/>
      <c r="K14" s="127"/>
    </row>
    <row r="15" spans="1:20" x14ac:dyDescent="0.25">
      <c r="A15" s="134">
        <v>110</v>
      </c>
      <c r="B15" s="848" t="s">
        <v>582</v>
      </c>
      <c r="C15" s="848"/>
      <c r="D15" s="848"/>
      <c r="E15" s="848"/>
      <c r="F15" s="313">
        <v>0</v>
      </c>
      <c r="G15" s="171"/>
      <c r="H15" s="172"/>
      <c r="I15" s="172"/>
      <c r="J15" s="129"/>
      <c r="K15" s="129"/>
    </row>
    <row r="16" spans="1:20" x14ac:dyDescent="0.25">
      <c r="A16" s="134"/>
      <c r="B16" s="134" t="s">
        <v>110</v>
      </c>
      <c r="C16" s="134"/>
      <c r="F16" s="313"/>
      <c r="G16" s="171"/>
      <c r="H16" s="172"/>
      <c r="I16" s="172"/>
      <c r="J16" s="129"/>
      <c r="K16" s="129"/>
    </row>
    <row r="17" spans="1:11" x14ac:dyDescent="0.25">
      <c r="A17" s="134">
        <v>124</v>
      </c>
      <c r="B17" s="850" t="s">
        <v>111</v>
      </c>
      <c r="C17" s="850"/>
      <c r="D17" s="850"/>
      <c r="E17" s="850"/>
      <c r="F17" s="313">
        <v>0</v>
      </c>
      <c r="G17" s="171"/>
      <c r="H17" s="172"/>
      <c r="I17" s="172"/>
      <c r="J17" s="9"/>
      <c r="K17" s="9"/>
    </row>
    <row r="18" spans="1:11" x14ac:dyDescent="0.25">
      <c r="A18" s="134">
        <v>124</v>
      </c>
      <c r="B18" s="850" t="s">
        <v>112</v>
      </c>
      <c r="C18" s="850"/>
      <c r="D18" s="850"/>
      <c r="E18" s="850"/>
      <c r="F18" s="313">
        <v>0</v>
      </c>
      <c r="G18" s="171"/>
      <c r="H18" s="172"/>
      <c r="I18" s="172"/>
      <c r="J18" s="130"/>
      <c r="K18" s="130"/>
    </row>
    <row r="19" spans="1:11" x14ac:dyDescent="0.25">
      <c r="A19" s="134">
        <v>124</v>
      </c>
      <c r="B19" s="850" t="s">
        <v>113</v>
      </c>
      <c r="C19" s="850"/>
      <c r="D19" s="850"/>
      <c r="E19" s="850"/>
      <c r="F19" s="313">
        <v>0</v>
      </c>
      <c r="G19" s="171"/>
      <c r="H19" s="172"/>
      <c r="I19" s="172"/>
      <c r="J19" s="130"/>
      <c r="K19" s="130"/>
    </row>
    <row r="20" spans="1:11" x14ac:dyDescent="0.25">
      <c r="A20" s="134">
        <v>124</v>
      </c>
      <c r="B20" s="850" t="s">
        <v>215</v>
      </c>
      <c r="C20" s="850"/>
      <c r="D20" s="850"/>
      <c r="E20" s="850"/>
      <c r="F20" s="313">
        <v>0</v>
      </c>
      <c r="G20" s="171"/>
      <c r="H20" s="172"/>
      <c r="I20" s="172"/>
      <c r="J20" s="130"/>
      <c r="K20" s="130"/>
    </row>
    <row r="21" spans="1:11" x14ac:dyDescent="0.25">
      <c r="A21" s="134">
        <v>124</v>
      </c>
      <c r="B21" s="850" t="s">
        <v>114</v>
      </c>
      <c r="C21" s="850"/>
      <c r="D21" s="850"/>
      <c r="E21" s="850"/>
      <c r="F21" s="313">
        <v>0</v>
      </c>
      <c r="G21" s="171"/>
      <c r="H21" s="172"/>
      <c r="I21" s="172"/>
      <c r="J21" s="130"/>
      <c r="K21" s="130"/>
    </row>
    <row r="22" spans="1:11" x14ac:dyDescent="0.25">
      <c r="A22" s="134">
        <v>122</v>
      </c>
      <c r="B22" s="849" t="s">
        <v>115</v>
      </c>
      <c r="C22" s="849"/>
      <c r="D22" s="849"/>
      <c r="E22" s="849"/>
      <c r="F22" s="313">
        <v>0</v>
      </c>
      <c r="G22" s="171"/>
      <c r="H22" s="172"/>
      <c r="I22" s="172"/>
      <c r="J22" s="130"/>
      <c r="K22" s="130"/>
    </row>
    <row r="23" spans="1:11" x14ac:dyDescent="0.25">
      <c r="A23" s="134">
        <v>120</v>
      </c>
      <c r="B23" s="849" t="s">
        <v>342</v>
      </c>
      <c r="C23" s="849"/>
      <c r="D23" s="849"/>
      <c r="E23" s="849"/>
      <c r="F23" s="313">
        <v>0</v>
      </c>
      <c r="G23" s="171"/>
      <c r="H23" s="172"/>
      <c r="I23" s="172"/>
      <c r="J23" s="129"/>
      <c r="K23" s="129"/>
    </row>
    <row r="24" spans="1:11" s="741" customFormat="1" x14ac:dyDescent="0.25">
      <c r="A24" s="134">
        <v>126</v>
      </c>
      <c r="B24" s="860" t="s">
        <v>1348</v>
      </c>
      <c r="C24" s="860"/>
      <c r="D24" s="860"/>
      <c r="E24" s="860"/>
      <c r="F24" s="313">
        <v>0</v>
      </c>
      <c r="G24" s="171"/>
      <c r="H24" s="172"/>
      <c r="I24" s="639"/>
      <c r="J24" s="740"/>
      <c r="K24" s="740"/>
    </row>
    <row r="25" spans="1:11" x14ac:dyDescent="0.25">
      <c r="A25" s="134">
        <v>130</v>
      </c>
      <c r="B25" s="853" t="s">
        <v>258</v>
      </c>
      <c r="C25" s="853"/>
      <c r="D25" s="853"/>
      <c r="E25" s="853"/>
      <c r="F25" s="313">
        <v>0</v>
      </c>
      <c r="G25" s="171"/>
      <c r="H25" s="172"/>
      <c r="I25" s="172"/>
      <c r="J25" s="129"/>
      <c r="K25" s="129"/>
    </row>
    <row r="26" spans="1:11" x14ac:dyDescent="0.25">
      <c r="A26" s="134">
        <v>140</v>
      </c>
      <c r="B26" s="848" t="s">
        <v>268</v>
      </c>
      <c r="C26" s="848"/>
      <c r="D26" s="848"/>
      <c r="E26" s="848"/>
      <c r="F26" s="313">
        <v>0</v>
      </c>
      <c r="G26" s="171"/>
      <c r="H26" s="172"/>
      <c r="I26" s="172"/>
      <c r="J26" s="129"/>
      <c r="K26" s="129"/>
    </row>
    <row r="27" spans="1:11" x14ac:dyDescent="0.25">
      <c r="A27" s="134">
        <v>154</v>
      </c>
      <c r="B27" s="848" t="s">
        <v>116</v>
      </c>
      <c r="C27" s="848"/>
      <c r="D27" s="848"/>
      <c r="E27" s="848"/>
      <c r="F27" s="313">
        <v>0</v>
      </c>
      <c r="G27" s="171"/>
      <c r="H27" s="172"/>
      <c r="I27" s="172"/>
      <c r="J27" s="129"/>
      <c r="K27" s="129"/>
    </row>
    <row r="28" spans="1:11" s="783" customFormat="1" x14ac:dyDescent="0.25">
      <c r="A28" s="134">
        <v>155</v>
      </c>
      <c r="B28" s="862" t="s">
        <v>1412</v>
      </c>
      <c r="C28" s="862"/>
      <c r="D28" s="862"/>
      <c r="E28" s="862"/>
      <c r="F28" s="313">
        <v>0</v>
      </c>
      <c r="G28" s="785" t="s">
        <v>1410</v>
      </c>
      <c r="H28" s="172"/>
      <c r="I28" s="172"/>
      <c r="J28" s="781"/>
      <c r="K28" s="781"/>
    </row>
    <row r="29" spans="1:11" x14ac:dyDescent="0.25">
      <c r="A29" s="134">
        <v>160</v>
      </c>
      <c r="B29" s="848" t="s">
        <v>119</v>
      </c>
      <c r="C29" s="848"/>
      <c r="D29" s="848"/>
      <c r="E29" s="848"/>
      <c r="F29" s="313">
        <v>0</v>
      </c>
      <c r="G29" s="171"/>
      <c r="H29" s="172"/>
      <c r="I29" s="172"/>
      <c r="J29" s="129"/>
      <c r="K29" s="129"/>
    </row>
    <row r="30" spans="1:11" x14ac:dyDescent="0.25">
      <c r="A30" s="134">
        <v>162</v>
      </c>
      <c r="B30" s="848" t="s">
        <v>109</v>
      </c>
      <c r="C30" s="848"/>
      <c r="D30" s="848"/>
      <c r="E30" s="848"/>
      <c r="F30" s="313">
        <v>0</v>
      </c>
      <c r="G30" s="171"/>
      <c r="H30" s="172"/>
      <c r="I30" s="172"/>
      <c r="J30" s="129"/>
      <c r="K30" s="129"/>
    </row>
    <row r="31" spans="1:11" x14ac:dyDescent="0.25">
      <c r="A31" s="134">
        <v>162</v>
      </c>
      <c r="B31" s="848" t="s">
        <v>583</v>
      </c>
      <c r="C31" s="848"/>
      <c r="D31" s="848"/>
      <c r="E31" s="848"/>
      <c r="F31" s="313">
        <v>0</v>
      </c>
      <c r="G31" s="171"/>
      <c r="H31" s="172"/>
      <c r="I31" s="172"/>
      <c r="J31" s="129"/>
      <c r="K31" s="129"/>
    </row>
    <row r="32" spans="1:11" x14ac:dyDescent="0.25">
      <c r="A32" s="391">
        <v>165</v>
      </c>
      <c r="B32" s="861" t="s">
        <v>624</v>
      </c>
      <c r="C32" s="861"/>
      <c r="D32" s="861"/>
      <c r="E32" s="861"/>
      <c r="F32" s="313">
        <v>0</v>
      </c>
      <c r="G32" s="558"/>
      <c r="H32" s="172"/>
      <c r="I32" s="172"/>
      <c r="J32" s="129"/>
      <c r="K32" s="129"/>
    </row>
    <row r="33" spans="1:11" x14ac:dyDescent="0.25">
      <c r="A33" s="391">
        <v>167</v>
      </c>
      <c r="B33" s="861" t="s">
        <v>1111</v>
      </c>
      <c r="C33" s="861"/>
      <c r="D33" s="861"/>
      <c r="E33" s="861"/>
      <c r="F33" s="313">
        <v>0</v>
      </c>
      <c r="G33" s="558"/>
      <c r="H33" s="172"/>
      <c r="I33" s="558"/>
      <c r="J33" s="129"/>
      <c r="K33" s="129"/>
    </row>
    <row r="34" spans="1:11" x14ac:dyDescent="0.25">
      <c r="A34" s="9"/>
      <c r="B34" s="848" t="s">
        <v>117</v>
      </c>
      <c r="C34" s="848"/>
      <c r="D34" s="848"/>
      <c r="E34" s="848"/>
      <c r="F34" s="316">
        <f>SUM(F12:F33)</f>
        <v>0</v>
      </c>
      <c r="G34" s="173"/>
      <c r="H34" s="172"/>
      <c r="I34" s="172"/>
      <c r="J34" s="129"/>
      <c r="K34" s="129"/>
    </row>
    <row r="35" spans="1:11" ht="8.1" customHeight="1" x14ac:dyDescent="0.25">
      <c r="A35" s="9"/>
      <c r="B35" s="127"/>
      <c r="C35" s="127"/>
      <c r="D35" s="127"/>
      <c r="E35" s="127"/>
      <c r="F35" s="173"/>
      <c r="G35" s="173"/>
      <c r="H35" s="172"/>
      <c r="I35" s="172"/>
      <c r="J35" s="129"/>
      <c r="K35" s="129"/>
    </row>
    <row r="36" spans="1:11" ht="15" customHeight="1" x14ac:dyDescent="0.25">
      <c r="A36" s="9"/>
      <c r="B36" s="125" t="s">
        <v>118</v>
      </c>
      <c r="C36" s="125"/>
      <c r="F36" s="175"/>
      <c r="G36" s="175"/>
      <c r="H36" s="176"/>
      <c r="I36" s="176"/>
      <c r="J36" s="125"/>
      <c r="K36" s="125"/>
    </row>
    <row r="37" spans="1:11" x14ac:dyDescent="0.25">
      <c r="A37" s="134">
        <v>110</v>
      </c>
      <c r="B37" s="848" t="s">
        <v>584</v>
      </c>
      <c r="C37" s="848"/>
      <c r="D37" s="848"/>
      <c r="E37" s="848"/>
      <c r="F37" s="313">
        <v>0</v>
      </c>
      <c r="G37" s="171"/>
      <c r="H37" s="177"/>
      <c r="I37" s="177"/>
      <c r="J37" s="127"/>
      <c r="K37" s="127"/>
    </row>
    <row r="38" spans="1:11" x14ac:dyDescent="0.25">
      <c r="A38" s="134">
        <v>110</v>
      </c>
      <c r="B38" s="848" t="s">
        <v>582</v>
      </c>
      <c r="C38" s="848"/>
      <c r="D38" s="848"/>
      <c r="E38" s="848"/>
      <c r="F38" s="313">
        <v>0</v>
      </c>
      <c r="G38" s="171"/>
      <c r="H38" s="177"/>
      <c r="I38" s="177"/>
      <c r="J38" s="127"/>
      <c r="K38" s="127"/>
    </row>
    <row r="39" spans="1:11" x14ac:dyDescent="0.25">
      <c r="A39" s="134"/>
      <c r="B39" s="134" t="s">
        <v>110</v>
      </c>
      <c r="C39" s="134"/>
      <c r="F39" s="313"/>
      <c r="G39" s="171"/>
      <c r="H39" s="177"/>
      <c r="I39" s="177"/>
      <c r="J39" s="127"/>
      <c r="K39" s="127"/>
    </row>
    <row r="40" spans="1:11" x14ac:dyDescent="0.25">
      <c r="A40" s="134">
        <v>124</v>
      </c>
      <c r="B40" s="850" t="s">
        <v>111</v>
      </c>
      <c r="C40" s="850"/>
      <c r="D40" s="850"/>
      <c r="E40" s="850"/>
      <c r="F40" s="313">
        <v>0</v>
      </c>
      <c r="G40" s="171"/>
      <c r="H40" s="177"/>
      <c r="I40" s="177"/>
      <c r="J40" s="127"/>
      <c r="K40" s="127"/>
    </row>
    <row r="41" spans="1:11" x14ac:dyDescent="0.25">
      <c r="A41" s="134">
        <v>124</v>
      </c>
      <c r="B41" s="850" t="s">
        <v>112</v>
      </c>
      <c r="C41" s="850"/>
      <c r="D41" s="850"/>
      <c r="E41" s="850"/>
      <c r="F41" s="313">
        <v>0</v>
      </c>
      <c r="G41" s="171"/>
      <c r="H41" s="172"/>
      <c r="I41" s="172"/>
      <c r="J41" s="129"/>
      <c r="K41" s="129"/>
    </row>
    <row r="42" spans="1:11" x14ac:dyDescent="0.25">
      <c r="A42" s="134">
        <v>124</v>
      </c>
      <c r="B42" s="850" t="s">
        <v>113</v>
      </c>
      <c r="C42" s="850"/>
      <c r="D42" s="850"/>
      <c r="E42" s="850"/>
      <c r="F42" s="313">
        <v>0</v>
      </c>
      <c r="G42" s="171"/>
      <c r="H42" s="172"/>
      <c r="I42" s="172"/>
      <c r="J42" s="129"/>
      <c r="K42" s="129"/>
    </row>
    <row r="43" spans="1:11" x14ac:dyDescent="0.25">
      <c r="A43" s="134">
        <v>124</v>
      </c>
      <c r="B43" s="850" t="s">
        <v>215</v>
      </c>
      <c r="C43" s="850"/>
      <c r="D43" s="850"/>
      <c r="E43" s="850"/>
      <c r="F43" s="313">
        <v>0</v>
      </c>
      <c r="G43" s="175"/>
      <c r="H43" s="172"/>
      <c r="I43" s="172"/>
      <c r="J43" s="9"/>
      <c r="K43" s="9"/>
    </row>
    <row r="44" spans="1:11" x14ac:dyDescent="0.25">
      <c r="A44" s="134">
        <v>124</v>
      </c>
      <c r="B44" s="850" t="s">
        <v>114</v>
      </c>
      <c r="C44" s="850"/>
      <c r="D44" s="850"/>
      <c r="E44" s="850"/>
      <c r="F44" s="313">
        <v>0</v>
      </c>
      <c r="G44" s="171"/>
      <c r="H44" s="172"/>
      <c r="I44" s="172"/>
      <c r="J44" s="130"/>
      <c r="K44" s="130"/>
    </row>
    <row r="45" spans="1:11" x14ac:dyDescent="0.25">
      <c r="A45" s="134">
        <v>154</v>
      </c>
      <c r="B45" s="848" t="s">
        <v>116</v>
      </c>
      <c r="C45" s="848"/>
      <c r="D45" s="848"/>
      <c r="E45" s="848"/>
      <c r="F45" s="313">
        <v>0</v>
      </c>
      <c r="G45" s="171"/>
      <c r="H45" s="172"/>
      <c r="I45" s="172"/>
      <c r="J45" s="130"/>
      <c r="K45" s="130"/>
    </row>
    <row r="46" spans="1:11" s="783" customFormat="1" x14ac:dyDescent="0.25">
      <c r="A46" s="134">
        <v>155</v>
      </c>
      <c r="B46" s="862" t="s">
        <v>1412</v>
      </c>
      <c r="C46" s="862"/>
      <c r="D46" s="862"/>
      <c r="E46" s="862"/>
      <c r="F46" s="313">
        <v>0</v>
      </c>
      <c r="G46" s="785" t="s">
        <v>1410</v>
      </c>
      <c r="H46" s="172"/>
      <c r="I46" s="172"/>
      <c r="J46" s="782"/>
      <c r="K46" s="782"/>
    </row>
    <row r="47" spans="1:11" x14ac:dyDescent="0.25">
      <c r="A47" s="134">
        <v>140</v>
      </c>
      <c r="B47" s="848" t="s">
        <v>268</v>
      </c>
      <c r="C47" s="848"/>
      <c r="D47" s="848"/>
      <c r="E47" s="848"/>
      <c r="F47" s="313">
        <v>0</v>
      </c>
      <c r="G47" s="171"/>
      <c r="H47" s="172"/>
      <c r="I47" s="172"/>
      <c r="J47" s="130"/>
      <c r="K47" s="130"/>
    </row>
    <row r="48" spans="1:11" x14ac:dyDescent="0.25">
      <c r="A48" s="697">
        <v>158</v>
      </c>
      <c r="B48" s="851" t="s">
        <v>991</v>
      </c>
      <c r="C48" s="851"/>
      <c r="D48" s="851"/>
      <c r="E48" s="851"/>
      <c r="F48" s="313">
        <v>0</v>
      </c>
      <c r="G48" s="171"/>
      <c r="H48" s="172"/>
      <c r="I48" s="172"/>
      <c r="J48" s="130"/>
      <c r="K48" s="130"/>
    </row>
    <row r="49" spans="1:11" x14ac:dyDescent="0.25">
      <c r="A49" s="697">
        <v>159</v>
      </c>
      <c r="B49" s="852" t="s">
        <v>1109</v>
      </c>
      <c r="C49" s="852"/>
      <c r="D49" s="852"/>
      <c r="E49" s="852"/>
      <c r="F49" s="313">
        <v>0</v>
      </c>
      <c r="G49" s="558"/>
      <c r="H49" s="172"/>
      <c r="I49" s="558"/>
      <c r="J49" s="130"/>
      <c r="K49" s="130"/>
    </row>
    <row r="50" spans="1:11" x14ac:dyDescent="0.25">
      <c r="A50" s="134">
        <v>160</v>
      </c>
      <c r="B50" s="848" t="s">
        <v>119</v>
      </c>
      <c r="C50" s="848"/>
      <c r="D50" s="848"/>
      <c r="E50" s="848"/>
      <c r="F50" s="313">
        <v>0</v>
      </c>
      <c r="G50" s="171"/>
      <c r="H50" s="172"/>
      <c r="I50" s="172"/>
      <c r="J50" s="130"/>
      <c r="K50" s="130"/>
    </row>
    <row r="51" spans="1:11" x14ac:dyDescent="0.25">
      <c r="A51" s="134">
        <v>162</v>
      </c>
      <c r="B51" s="848" t="s">
        <v>585</v>
      </c>
      <c r="C51" s="848"/>
      <c r="D51" s="848"/>
      <c r="E51" s="848"/>
      <c r="F51" s="313">
        <v>0</v>
      </c>
      <c r="G51" s="171"/>
      <c r="H51" s="172"/>
      <c r="I51" s="172"/>
      <c r="J51" s="130"/>
      <c r="K51" s="130"/>
    </row>
    <row r="52" spans="1:11" x14ac:dyDescent="0.25">
      <c r="A52" s="134">
        <v>162</v>
      </c>
      <c r="B52" s="848" t="s">
        <v>583</v>
      </c>
      <c r="C52" s="848"/>
      <c r="D52" s="848"/>
      <c r="E52" s="848"/>
      <c r="F52" s="313">
        <v>0</v>
      </c>
      <c r="G52" s="171"/>
      <c r="H52" s="172"/>
      <c r="I52" s="172"/>
      <c r="J52" s="130"/>
      <c r="K52" s="130"/>
    </row>
    <row r="53" spans="1:11" x14ac:dyDescent="0.25">
      <c r="A53" s="134">
        <v>163</v>
      </c>
      <c r="B53" s="848" t="s">
        <v>384</v>
      </c>
      <c r="C53" s="848"/>
      <c r="D53" s="848"/>
      <c r="E53" s="848"/>
      <c r="F53" s="313">
        <v>0</v>
      </c>
      <c r="G53" s="171"/>
      <c r="H53" s="172"/>
      <c r="I53" s="172"/>
      <c r="J53" s="129"/>
      <c r="K53" s="129"/>
    </row>
    <row r="54" spans="1:11" x14ac:dyDescent="0.25">
      <c r="A54" s="134">
        <v>164</v>
      </c>
      <c r="B54" s="848" t="s">
        <v>121</v>
      </c>
      <c r="C54" s="848"/>
      <c r="D54" s="848"/>
      <c r="E54" s="848"/>
      <c r="F54" s="313">
        <v>0</v>
      </c>
      <c r="G54" s="171"/>
      <c r="H54" s="172"/>
      <c r="I54" s="172"/>
      <c r="J54" s="129"/>
      <c r="K54" s="129"/>
    </row>
    <row r="55" spans="1:11" x14ac:dyDescent="0.25">
      <c r="A55" s="391">
        <v>165</v>
      </c>
      <c r="B55" s="861" t="s">
        <v>624</v>
      </c>
      <c r="C55" s="861"/>
      <c r="D55" s="861"/>
      <c r="E55" s="861"/>
      <c r="F55" s="313">
        <v>0</v>
      </c>
      <c r="G55" s="171"/>
      <c r="H55" s="172"/>
      <c r="I55" s="172"/>
      <c r="J55" s="129"/>
      <c r="K55" s="129"/>
    </row>
    <row r="56" spans="1:11" x14ac:dyDescent="0.25">
      <c r="A56" s="391">
        <v>167</v>
      </c>
      <c r="B56" s="861" t="s">
        <v>1111</v>
      </c>
      <c r="C56" s="861"/>
      <c r="D56" s="861"/>
      <c r="E56" s="861"/>
      <c r="F56" s="313">
        <v>0</v>
      </c>
      <c r="G56" s="558"/>
      <c r="H56" s="172"/>
      <c r="I56" s="558"/>
      <c r="J56" s="129"/>
      <c r="K56" s="129"/>
    </row>
    <row r="57" spans="1:11" x14ac:dyDescent="0.25">
      <c r="A57" s="134">
        <v>170</v>
      </c>
      <c r="B57" s="848" t="s">
        <v>269</v>
      </c>
      <c r="C57" s="848"/>
      <c r="D57" s="848"/>
      <c r="E57" s="848"/>
      <c r="F57" s="313">
        <v>0</v>
      </c>
      <c r="G57" s="171"/>
      <c r="H57" s="172"/>
      <c r="I57" s="172"/>
      <c r="J57" s="129"/>
      <c r="K57" s="129"/>
    </row>
    <row r="58" spans="1:11" x14ac:dyDescent="0.25">
      <c r="A58" s="134">
        <v>171</v>
      </c>
      <c r="B58" s="848" t="s">
        <v>270</v>
      </c>
      <c r="C58" s="848"/>
      <c r="D58" s="848"/>
      <c r="E58" s="848"/>
      <c r="F58" s="786">
        <v>0</v>
      </c>
      <c r="G58" s="171"/>
      <c r="H58" s="172"/>
      <c r="I58" s="172"/>
      <c r="J58" s="129"/>
      <c r="K58" s="129"/>
    </row>
    <row r="59" spans="1:11" x14ac:dyDescent="0.25">
      <c r="A59" s="9"/>
      <c r="B59" s="848" t="s">
        <v>122</v>
      </c>
      <c r="C59" s="848"/>
      <c r="D59" s="848"/>
      <c r="E59" s="848"/>
      <c r="F59" s="338">
        <f>SUM(F36:F58)</f>
        <v>0</v>
      </c>
      <c r="G59" s="173"/>
      <c r="H59" s="172"/>
      <c r="I59" s="172"/>
      <c r="J59" s="129"/>
      <c r="K59" s="129"/>
    </row>
    <row r="60" spans="1:11" x14ac:dyDescent="0.25">
      <c r="A60" s="9"/>
      <c r="B60" s="848" t="s">
        <v>123</v>
      </c>
      <c r="C60" s="848"/>
      <c r="D60" s="848"/>
      <c r="E60" s="848"/>
      <c r="F60" s="316">
        <f>F34+F59</f>
        <v>0</v>
      </c>
      <c r="G60" s="178"/>
      <c r="H60" s="177"/>
      <c r="I60" s="177"/>
      <c r="J60" s="127"/>
      <c r="K60" s="127"/>
    </row>
    <row r="61" spans="1:11" ht="8.1" customHeight="1" x14ac:dyDescent="0.25">
      <c r="B61" s="127"/>
      <c r="C61" s="127"/>
      <c r="F61" s="178"/>
      <c r="G61" s="178"/>
      <c r="H61" s="177"/>
      <c r="I61" s="177"/>
      <c r="J61" s="127"/>
      <c r="K61" s="127"/>
    </row>
    <row r="62" spans="1:11" x14ac:dyDescent="0.25">
      <c r="B62" s="124" t="s">
        <v>677</v>
      </c>
      <c r="C62" s="127"/>
      <c r="F62" s="178"/>
      <c r="G62" s="178"/>
      <c r="H62" s="177"/>
      <c r="I62" s="177"/>
      <c r="J62" s="127"/>
      <c r="K62" s="127"/>
    </row>
    <row r="63" spans="1:11" x14ac:dyDescent="0.25">
      <c r="A63" s="134">
        <v>190</v>
      </c>
      <c r="B63" s="848" t="s">
        <v>678</v>
      </c>
      <c r="C63" s="848"/>
      <c r="D63" s="848"/>
      <c r="E63" s="848"/>
      <c r="F63" s="313">
        <v>0</v>
      </c>
      <c r="G63" s="178"/>
      <c r="H63" s="177"/>
      <c r="I63" s="177"/>
      <c r="J63" s="127"/>
      <c r="K63" s="127"/>
    </row>
    <row r="64" spans="1:11" x14ac:dyDescent="0.25">
      <c r="A64" s="134">
        <v>193</v>
      </c>
      <c r="B64" s="848" t="s">
        <v>779</v>
      </c>
      <c r="C64" s="848"/>
      <c r="D64" s="848"/>
      <c r="E64" s="848"/>
      <c r="F64" s="313">
        <v>0</v>
      </c>
      <c r="G64" s="178"/>
      <c r="H64" s="177"/>
      <c r="I64" s="177"/>
      <c r="J64" s="127"/>
      <c r="K64" s="127"/>
    </row>
    <row r="65" spans="1:11" s="607" customFormat="1" x14ac:dyDescent="0.25">
      <c r="A65" s="134">
        <v>197</v>
      </c>
      <c r="B65" s="848" t="s">
        <v>1178</v>
      </c>
      <c r="C65" s="848"/>
      <c r="D65" s="848"/>
      <c r="E65" s="848"/>
      <c r="F65" s="313">
        <v>0</v>
      </c>
      <c r="G65" s="178"/>
      <c r="H65" s="177"/>
      <c r="I65" s="177"/>
      <c r="J65" s="605"/>
      <c r="K65" s="605"/>
    </row>
    <row r="66" spans="1:11" x14ac:dyDescent="0.25">
      <c r="A66" s="134">
        <v>194</v>
      </c>
      <c r="B66" s="851" t="s">
        <v>942</v>
      </c>
      <c r="C66" s="851"/>
      <c r="D66" s="851"/>
      <c r="E66" s="851"/>
      <c r="F66" s="313">
        <v>0</v>
      </c>
      <c r="G66" s="178"/>
      <c r="H66" s="177"/>
      <c r="I66" s="177"/>
      <c r="J66" s="127"/>
      <c r="K66" s="127"/>
    </row>
    <row r="67" spans="1:11" x14ac:dyDescent="0.25">
      <c r="A67" s="134">
        <v>195</v>
      </c>
      <c r="B67" s="852" t="s">
        <v>1105</v>
      </c>
      <c r="C67" s="852"/>
      <c r="D67" s="852"/>
      <c r="E67" s="852"/>
      <c r="F67" s="313">
        <v>0</v>
      </c>
      <c r="G67" s="558"/>
      <c r="H67" s="177"/>
      <c r="I67" s="558"/>
      <c r="J67" s="127"/>
      <c r="K67" s="127"/>
    </row>
    <row r="68" spans="1:11" x14ac:dyDescent="0.25">
      <c r="A68" s="134">
        <v>196</v>
      </c>
      <c r="B68" s="851" t="s">
        <v>940</v>
      </c>
      <c r="C68" s="851"/>
      <c r="D68" s="851"/>
      <c r="E68" s="851"/>
      <c r="F68" s="313">
        <v>0</v>
      </c>
      <c r="G68" s="178"/>
      <c r="H68" s="177"/>
      <c r="I68" s="177"/>
      <c r="J68" s="127"/>
      <c r="K68" s="127"/>
    </row>
    <row r="69" spans="1:11" x14ac:dyDescent="0.25">
      <c r="B69" s="848" t="s">
        <v>683</v>
      </c>
      <c r="C69" s="848"/>
      <c r="D69" s="848"/>
      <c r="E69" s="848"/>
      <c r="F69" s="316">
        <f>SUM(F63:F68)</f>
        <v>0</v>
      </c>
      <c r="G69" s="178"/>
      <c r="H69" s="177"/>
      <c r="I69" s="177"/>
      <c r="J69" s="127"/>
      <c r="K69" s="127"/>
    </row>
    <row r="70" spans="1:11" ht="8.1" customHeight="1" x14ac:dyDescent="0.25">
      <c r="B70" s="127"/>
      <c r="C70" s="127"/>
      <c r="F70" s="178"/>
      <c r="G70" s="178"/>
      <c r="H70" s="177"/>
      <c r="I70" s="177"/>
      <c r="J70" s="127"/>
      <c r="K70" s="127"/>
    </row>
    <row r="71" spans="1:11" x14ac:dyDescent="0.25">
      <c r="A71" s="9"/>
      <c r="B71" s="124" t="s">
        <v>124</v>
      </c>
      <c r="C71" s="124"/>
      <c r="F71" s="175"/>
      <c r="G71" s="175"/>
      <c r="H71" s="179"/>
      <c r="I71" s="179"/>
      <c r="J71" s="124"/>
      <c r="K71" s="124"/>
    </row>
    <row r="72" spans="1:11" x14ac:dyDescent="0.25">
      <c r="A72" s="9"/>
      <c r="B72" s="131" t="s">
        <v>125</v>
      </c>
      <c r="C72" s="131"/>
      <c r="F72" s="175"/>
      <c r="G72" s="175"/>
      <c r="H72" s="180"/>
      <c r="I72" s="180"/>
      <c r="J72" s="131"/>
      <c r="K72" s="131"/>
    </row>
    <row r="73" spans="1:11" x14ac:dyDescent="0.25">
      <c r="A73" s="9"/>
      <c r="B73" s="9" t="s">
        <v>126</v>
      </c>
      <c r="C73" s="9"/>
      <c r="F73" s="175"/>
      <c r="G73" s="175"/>
      <c r="H73" s="172"/>
      <c r="I73" s="172"/>
      <c r="J73" s="9"/>
      <c r="K73" s="9"/>
    </row>
    <row r="74" spans="1:11" x14ac:dyDescent="0.25">
      <c r="A74" s="134">
        <v>204</v>
      </c>
      <c r="B74" s="850" t="s">
        <v>586</v>
      </c>
      <c r="C74" s="850"/>
      <c r="D74" s="850"/>
      <c r="E74" s="850"/>
      <c r="F74" s="313">
        <v>0</v>
      </c>
      <c r="G74" s="171"/>
      <c r="H74" s="172"/>
      <c r="I74" s="172"/>
      <c r="J74" s="130"/>
      <c r="K74" s="130"/>
    </row>
    <row r="75" spans="1:11" x14ac:dyDescent="0.25">
      <c r="A75" s="134">
        <v>204</v>
      </c>
      <c r="B75" s="850" t="s">
        <v>127</v>
      </c>
      <c r="C75" s="850"/>
      <c r="D75" s="850"/>
      <c r="E75" s="850"/>
      <c r="F75" s="313">
        <v>0</v>
      </c>
      <c r="G75" s="171"/>
      <c r="H75" s="172"/>
      <c r="I75" s="172"/>
      <c r="J75" s="130"/>
      <c r="K75" s="130"/>
    </row>
    <row r="76" spans="1:11" x14ac:dyDescent="0.25">
      <c r="A76" s="134">
        <v>204</v>
      </c>
      <c r="B76" s="850" t="s">
        <v>128</v>
      </c>
      <c r="C76" s="850"/>
      <c r="D76" s="850"/>
      <c r="E76" s="850"/>
      <c r="F76" s="313">
        <v>0</v>
      </c>
      <c r="G76" s="171"/>
      <c r="H76" s="172"/>
      <c r="I76" s="172"/>
      <c r="J76" s="130"/>
      <c r="K76" s="130"/>
    </row>
    <row r="77" spans="1:11" x14ac:dyDescent="0.25">
      <c r="A77" s="134">
        <v>204</v>
      </c>
      <c r="B77" s="850" t="s">
        <v>129</v>
      </c>
      <c r="C77" s="850"/>
      <c r="D77" s="850"/>
      <c r="E77" s="850"/>
      <c r="F77" s="313">
        <v>0</v>
      </c>
      <c r="G77" s="171"/>
      <c r="H77" s="172"/>
      <c r="I77" s="172"/>
      <c r="J77" s="130"/>
      <c r="K77" s="130"/>
    </row>
    <row r="78" spans="1:11" x14ac:dyDescent="0.25">
      <c r="A78" s="134">
        <v>204</v>
      </c>
      <c r="B78" s="850" t="s">
        <v>130</v>
      </c>
      <c r="C78" s="850"/>
      <c r="D78" s="850"/>
      <c r="E78" s="850"/>
      <c r="F78" s="313">
        <v>0</v>
      </c>
      <c r="G78" s="171"/>
      <c r="H78" s="172"/>
      <c r="I78" s="172"/>
      <c r="J78" s="130"/>
      <c r="K78" s="130"/>
    </row>
    <row r="79" spans="1:11" x14ac:dyDescent="0.25">
      <c r="A79" s="134">
        <v>210</v>
      </c>
      <c r="B79" s="848" t="s">
        <v>242</v>
      </c>
      <c r="C79" s="848"/>
      <c r="D79" s="848"/>
      <c r="E79" s="848"/>
      <c r="F79" s="313">
        <v>0</v>
      </c>
      <c r="G79" s="171"/>
      <c r="H79" s="172"/>
      <c r="I79" s="172"/>
      <c r="J79" s="129"/>
      <c r="K79" s="129"/>
    </row>
    <row r="80" spans="1:11" x14ac:dyDescent="0.25">
      <c r="A80" s="134">
        <v>212</v>
      </c>
      <c r="B80" s="848" t="s">
        <v>590</v>
      </c>
      <c r="C80" s="848"/>
      <c r="D80" s="848"/>
      <c r="E80" s="848"/>
      <c r="F80" s="313">
        <v>0</v>
      </c>
      <c r="G80" s="171"/>
      <c r="H80" s="172"/>
      <c r="I80" s="172"/>
      <c r="J80" s="129"/>
      <c r="K80" s="129"/>
    </row>
    <row r="81" spans="1:11" x14ac:dyDescent="0.25">
      <c r="A81" s="134">
        <v>202</v>
      </c>
      <c r="B81" s="848" t="s">
        <v>131</v>
      </c>
      <c r="C81" s="848"/>
      <c r="D81" s="848"/>
      <c r="E81" s="848"/>
      <c r="F81" s="313">
        <v>0</v>
      </c>
      <c r="G81" s="171"/>
      <c r="H81" s="172"/>
      <c r="I81" s="172"/>
      <c r="J81" s="129"/>
      <c r="K81" s="129"/>
    </row>
    <row r="82" spans="1:11" x14ac:dyDescent="0.25">
      <c r="A82" s="134">
        <v>200</v>
      </c>
      <c r="B82" s="848" t="s">
        <v>343</v>
      </c>
      <c r="C82" s="848"/>
      <c r="D82" s="848"/>
      <c r="E82" s="848"/>
      <c r="F82" s="313">
        <v>0</v>
      </c>
      <c r="G82" s="304"/>
      <c r="H82" s="172"/>
      <c r="I82" s="172"/>
      <c r="J82" s="129"/>
      <c r="K82" s="129"/>
    </row>
    <row r="83" spans="1:11" x14ac:dyDescent="0.25">
      <c r="A83" s="134">
        <v>220</v>
      </c>
      <c r="B83" s="848" t="s">
        <v>296</v>
      </c>
      <c r="C83" s="848"/>
      <c r="D83" s="848"/>
      <c r="E83" s="848"/>
      <c r="F83" s="313">
        <v>0</v>
      </c>
      <c r="G83" s="171"/>
      <c r="H83" s="172"/>
      <c r="I83" s="172"/>
      <c r="J83" s="129"/>
      <c r="K83" s="129"/>
    </row>
    <row r="84" spans="1:11" x14ac:dyDescent="0.25">
      <c r="A84" s="134">
        <v>222</v>
      </c>
      <c r="B84" s="848" t="s">
        <v>376</v>
      </c>
      <c r="C84" s="848"/>
      <c r="D84" s="848"/>
      <c r="E84" s="848"/>
      <c r="F84" s="313">
        <v>0</v>
      </c>
      <c r="G84" s="171"/>
      <c r="H84" s="172"/>
      <c r="I84" s="172"/>
      <c r="J84" s="129"/>
      <c r="K84" s="129"/>
    </row>
    <row r="85" spans="1:11" x14ac:dyDescent="0.25">
      <c r="A85" s="134">
        <v>230</v>
      </c>
      <c r="B85" s="848" t="s">
        <v>243</v>
      </c>
      <c r="C85" s="848"/>
      <c r="D85" s="848"/>
      <c r="E85" s="848"/>
      <c r="F85" s="313">
        <v>0</v>
      </c>
      <c r="G85" s="171"/>
      <c r="H85" s="172"/>
      <c r="I85" s="172"/>
      <c r="J85" s="129"/>
      <c r="K85" s="129"/>
    </row>
    <row r="86" spans="1:11" x14ac:dyDescent="0.25">
      <c r="A86" s="134">
        <v>235</v>
      </c>
      <c r="B86" s="848" t="s">
        <v>132</v>
      </c>
      <c r="C86" s="848"/>
      <c r="D86" s="848"/>
      <c r="E86" s="848"/>
      <c r="F86" s="313">
        <v>0</v>
      </c>
      <c r="G86" s="171"/>
      <c r="H86" s="172"/>
      <c r="I86" s="172"/>
      <c r="J86" s="129"/>
      <c r="K86" s="129"/>
    </row>
    <row r="87" spans="1:11" x14ac:dyDescent="0.25">
      <c r="A87" s="391">
        <v>242</v>
      </c>
      <c r="B87" s="861" t="s">
        <v>625</v>
      </c>
      <c r="C87" s="861"/>
      <c r="D87" s="861"/>
      <c r="E87" s="861"/>
      <c r="F87" s="313">
        <v>0</v>
      </c>
      <c r="G87" s="171"/>
      <c r="H87" s="172"/>
      <c r="I87" s="172"/>
      <c r="J87" s="129"/>
      <c r="K87" s="129"/>
    </row>
    <row r="88" spans="1:11" x14ac:dyDescent="0.25">
      <c r="A88" s="134">
        <v>240</v>
      </c>
      <c r="B88" s="848" t="s">
        <v>1191</v>
      </c>
      <c r="C88" s="848"/>
      <c r="D88" s="848"/>
      <c r="E88" s="848"/>
      <c r="F88" s="313">
        <v>0</v>
      </c>
      <c r="G88" s="171"/>
      <c r="H88" s="558"/>
      <c r="I88" s="172"/>
      <c r="J88" s="129"/>
      <c r="K88" s="129"/>
    </row>
    <row r="89" spans="1:11" x14ac:dyDescent="0.25">
      <c r="A89" s="134">
        <v>243</v>
      </c>
      <c r="B89" s="862" t="s">
        <v>1409</v>
      </c>
      <c r="C89" s="862"/>
      <c r="D89" s="862"/>
      <c r="E89" s="862"/>
      <c r="F89" s="313">
        <v>0</v>
      </c>
      <c r="G89" s="785" t="s">
        <v>1410</v>
      </c>
      <c r="H89" s="785"/>
      <c r="I89" s="172"/>
      <c r="J89" s="129"/>
      <c r="K89" s="129"/>
    </row>
    <row r="90" spans="1:11" x14ac:dyDescent="0.25">
      <c r="A90" s="134">
        <v>240</v>
      </c>
      <c r="B90" s="848" t="s">
        <v>587</v>
      </c>
      <c r="C90" s="848"/>
      <c r="D90" s="848"/>
      <c r="E90" s="848"/>
      <c r="F90" s="313">
        <v>0</v>
      </c>
      <c r="G90" s="171"/>
      <c r="H90" s="172"/>
      <c r="I90" s="172"/>
      <c r="J90" s="129"/>
      <c r="K90" s="129"/>
    </row>
    <row r="91" spans="1:11" x14ac:dyDescent="0.25">
      <c r="A91" s="134">
        <v>240</v>
      </c>
      <c r="B91" s="848" t="s">
        <v>588</v>
      </c>
      <c r="C91" s="848"/>
      <c r="D91" s="848"/>
      <c r="E91" s="848"/>
      <c r="F91" s="313">
        <v>0</v>
      </c>
      <c r="G91" s="171"/>
      <c r="H91" s="172"/>
      <c r="I91" s="172"/>
      <c r="J91" s="129"/>
      <c r="K91" s="129"/>
    </row>
    <row r="92" spans="1:11" x14ac:dyDescent="0.25">
      <c r="A92" s="134">
        <v>240</v>
      </c>
      <c r="B92" s="848" t="s">
        <v>919</v>
      </c>
      <c r="C92" s="848"/>
      <c r="D92" s="848"/>
      <c r="E92" s="848"/>
      <c r="F92" s="313">
        <v>0</v>
      </c>
      <c r="G92" s="171"/>
      <c r="H92" s="172"/>
      <c r="I92" s="172"/>
      <c r="J92" s="129"/>
      <c r="K92" s="129"/>
    </row>
    <row r="93" spans="1:11" x14ac:dyDescent="0.25">
      <c r="A93" s="134">
        <v>240</v>
      </c>
      <c r="B93" s="848" t="s">
        <v>589</v>
      </c>
      <c r="C93" s="848"/>
      <c r="D93" s="848"/>
      <c r="E93" s="848"/>
      <c r="F93" s="313">
        <v>0</v>
      </c>
      <c r="G93" s="171"/>
      <c r="H93" s="172"/>
      <c r="I93" s="172"/>
      <c r="J93" s="129"/>
      <c r="K93" s="129"/>
    </row>
    <row r="94" spans="1:11" x14ac:dyDescent="0.25">
      <c r="A94" s="134">
        <v>240</v>
      </c>
      <c r="B94" s="851" t="s">
        <v>945</v>
      </c>
      <c r="C94" s="851"/>
      <c r="D94" s="851"/>
      <c r="E94" s="851"/>
      <c r="F94" s="313">
        <v>0</v>
      </c>
      <c r="G94" s="171"/>
      <c r="H94" s="172"/>
      <c r="I94" s="172"/>
      <c r="J94" s="129"/>
      <c r="K94" s="129"/>
    </row>
    <row r="95" spans="1:11" x14ac:dyDescent="0.25">
      <c r="A95" s="134">
        <v>240</v>
      </c>
      <c r="B95" s="852" t="s">
        <v>1106</v>
      </c>
      <c r="C95" s="852"/>
      <c r="D95" s="852"/>
      <c r="E95" s="852"/>
      <c r="F95" s="313">
        <v>0</v>
      </c>
      <c r="G95" s="558"/>
      <c r="H95" s="172"/>
      <c r="I95" s="558"/>
      <c r="J95" s="129"/>
      <c r="K95" s="129"/>
    </row>
    <row r="96" spans="1:11" x14ac:dyDescent="0.25">
      <c r="A96" s="134">
        <v>240</v>
      </c>
      <c r="B96" s="851" t="s">
        <v>943</v>
      </c>
      <c r="C96" s="851"/>
      <c r="D96" s="851"/>
      <c r="E96" s="851"/>
      <c r="F96" s="313">
        <v>0</v>
      </c>
      <c r="G96" s="171"/>
      <c r="H96" s="172"/>
      <c r="I96" s="172"/>
      <c r="J96" s="129"/>
      <c r="K96" s="129"/>
    </row>
    <row r="97" spans="1:11" x14ac:dyDescent="0.25">
      <c r="A97" s="9"/>
      <c r="B97" s="848" t="s">
        <v>133</v>
      </c>
      <c r="C97" s="848"/>
      <c r="D97" s="848"/>
      <c r="E97" s="848"/>
      <c r="F97" s="316">
        <f>SUM(F73:F96)</f>
        <v>0</v>
      </c>
      <c r="G97" s="181"/>
      <c r="H97" s="172"/>
      <c r="I97" s="172"/>
      <c r="J97" s="129"/>
      <c r="K97" s="129"/>
    </row>
    <row r="98" spans="1:11" ht="8.1" customHeight="1" x14ac:dyDescent="0.25">
      <c r="A98" s="9"/>
      <c r="B98" s="127"/>
      <c r="C98" s="127"/>
      <c r="D98" s="127"/>
      <c r="E98" s="127"/>
      <c r="F98" s="181"/>
      <c r="G98" s="181"/>
      <c r="H98" s="172"/>
      <c r="I98" s="172"/>
      <c r="J98" s="129"/>
      <c r="K98" s="129"/>
    </row>
    <row r="99" spans="1:11" x14ac:dyDescent="0.25">
      <c r="A99" s="9"/>
      <c r="B99" s="132" t="s">
        <v>134</v>
      </c>
      <c r="C99" s="132"/>
      <c r="F99" s="175"/>
      <c r="G99" s="175"/>
      <c r="H99" s="176"/>
      <c r="I99" s="176"/>
      <c r="J99" s="132"/>
      <c r="K99" s="132"/>
    </row>
    <row r="100" spans="1:11" x14ac:dyDescent="0.25">
      <c r="A100" s="9"/>
      <c r="B100" s="9" t="s">
        <v>126</v>
      </c>
      <c r="C100" s="9"/>
      <c r="F100" s="175"/>
      <c r="G100" s="175"/>
      <c r="H100" s="172"/>
      <c r="I100" s="172"/>
      <c r="J100" s="9"/>
      <c r="K100" s="9"/>
    </row>
    <row r="101" spans="1:11" x14ac:dyDescent="0.25">
      <c r="A101" s="134">
        <v>204</v>
      </c>
      <c r="B101" s="850" t="s">
        <v>128</v>
      </c>
      <c r="C101" s="850"/>
      <c r="D101" s="850"/>
      <c r="E101" s="850"/>
      <c r="F101" s="313">
        <v>0</v>
      </c>
      <c r="G101" s="171"/>
      <c r="H101" s="172"/>
      <c r="I101" s="172"/>
      <c r="J101" s="130"/>
      <c r="K101" s="130"/>
    </row>
    <row r="102" spans="1:11" x14ac:dyDescent="0.25">
      <c r="A102" s="134">
        <v>204</v>
      </c>
      <c r="B102" s="850" t="s">
        <v>129</v>
      </c>
      <c r="C102" s="850"/>
      <c r="D102" s="850"/>
      <c r="E102" s="850"/>
      <c r="F102" s="313">
        <v>0</v>
      </c>
      <c r="G102" s="171"/>
      <c r="H102" s="172"/>
      <c r="I102" s="172"/>
      <c r="J102" s="130"/>
      <c r="K102" s="130"/>
    </row>
    <row r="103" spans="1:11" x14ac:dyDescent="0.25">
      <c r="A103" s="134">
        <v>204</v>
      </c>
      <c r="B103" s="850" t="s">
        <v>130</v>
      </c>
      <c r="C103" s="850"/>
      <c r="D103" s="850"/>
      <c r="E103" s="850"/>
      <c r="F103" s="313">
        <v>0</v>
      </c>
      <c r="G103" s="171"/>
      <c r="H103" s="172"/>
      <c r="I103" s="172"/>
      <c r="J103" s="129"/>
      <c r="K103" s="129"/>
    </row>
    <row r="104" spans="1:11" x14ac:dyDescent="0.25">
      <c r="A104" s="134">
        <v>225</v>
      </c>
      <c r="B104" s="848" t="s">
        <v>135</v>
      </c>
      <c r="C104" s="848"/>
      <c r="D104" s="848"/>
      <c r="E104" s="848"/>
      <c r="F104" s="313">
        <v>0</v>
      </c>
      <c r="G104" s="305"/>
      <c r="H104" s="172"/>
      <c r="I104" s="172"/>
      <c r="J104" s="129"/>
      <c r="K104" s="129"/>
    </row>
    <row r="105" spans="1:11" x14ac:dyDescent="0.25">
      <c r="A105" s="134">
        <v>220</v>
      </c>
      <c r="B105" s="848" t="s">
        <v>296</v>
      </c>
      <c r="C105" s="848"/>
      <c r="D105" s="848"/>
      <c r="E105" s="848"/>
      <c r="F105" s="313">
        <v>0</v>
      </c>
      <c r="G105" s="171"/>
      <c r="H105" s="172"/>
      <c r="I105" s="172"/>
      <c r="J105" s="129"/>
      <c r="K105" s="129"/>
    </row>
    <row r="106" spans="1:11" x14ac:dyDescent="0.25">
      <c r="A106" s="134">
        <v>230</v>
      </c>
      <c r="B106" s="848" t="s">
        <v>243</v>
      </c>
      <c r="C106" s="848"/>
      <c r="D106" s="848"/>
      <c r="E106" s="848"/>
      <c r="F106" s="313">
        <v>0</v>
      </c>
      <c r="G106" s="171"/>
      <c r="H106" s="172"/>
      <c r="I106" s="172"/>
      <c r="J106" s="129"/>
      <c r="K106" s="129"/>
    </row>
    <row r="107" spans="1:11" x14ac:dyDescent="0.25">
      <c r="A107" s="134">
        <v>235</v>
      </c>
      <c r="B107" s="848" t="s">
        <v>132</v>
      </c>
      <c r="C107" s="848"/>
      <c r="D107" s="848"/>
      <c r="E107" s="848"/>
      <c r="F107" s="313">
        <v>0</v>
      </c>
      <c r="G107" s="171"/>
      <c r="H107" s="172"/>
      <c r="I107" s="172"/>
      <c r="J107" s="129"/>
      <c r="K107" s="129"/>
    </row>
    <row r="108" spans="1:11" x14ac:dyDescent="0.25">
      <c r="A108" s="391">
        <v>242</v>
      </c>
      <c r="B108" s="861" t="s">
        <v>625</v>
      </c>
      <c r="C108" s="861"/>
      <c r="D108" s="861"/>
      <c r="E108" s="861"/>
      <c r="F108" s="313">
        <v>0</v>
      </c>
      <c r="G108" s="171"/>
      <c r="I108" s="172"/>
      <c r="J108" s="129"/>
      <c r="K108" s="129"/>
    </row>
    <row r="109" spans="1:11" x14ac:dyDescent="0.25">
      <c r="A109" s="134">
        <v>241</v>
      </c>
      <c r="B109" s="848" t="s">
        <v>1192</v>
      </c>
      <c r="C109" s="848"/>
      <c r="D109" s="848"/>
      <c r="E109" s="848"/>
      <c r="F109" s="313">
        <v>0</v>
      </c>
      <c r="G109" s="171"/>
      <c r="H109" s="558"/>
      <c r="I109" s="172"/>
      <c r="J109" s="129"/>
      <c r="K109" s="129"/>
    </row>
    <row r="110" spans="1:11" x14ac:dyDescent="0.25">
      <c r="A110" s="134">
        <v>243</v>
      </c>
      <c r="B110" s="862" t="s">
        <v>1411</v>
      </c>
      <c r="C110" s="862"/>
      <c r="D110" s="862"/>
      <c r="E110" s="862"/>
      <c r="F110" s="313">
        <v>0</v>
      </c>
      <c r="G110" s="785" t="s">
        <v>1410</v>
      </c>
      <c r="H110" s="785"/>
      <c r="I110" s="172"/>
      <c r="J110" s="129"/>
      <c r="K110" s="129"/>
    </row>
    <row r="111" spans="1:11" x14ac:dyDescent="0.25">
      <c r="A111" s="134">
        <v>241</v>
      </c>
      <c r="B111" s="848" t="s">
        <v>136</v>
      </c>
      <c r="C111" s="848"/>
      <c r="D111" s="848"/>
      <c r="E111" s="848"/>
      <c r="F111" s="313">
        <v>0</v>
      </c>
      <c r="G111" s="171"/>
      <c r="H111" s="172"/>
      <c r="I111" s="172"/>
      <c r="J111" s="129"/>
      <c r="K111" s="129"/>
    </row>
    <row r="112" spans="1:11" x14ac:dyDescent="0.25">
      <c r="A112" s="134">
        <v>241</v>
      </c>
      <c r="B112" s="848" t="s">
        <v>137</v>
      </c>
      <c r="C112" s="848"/>
      <c r="D112" s="848"/>
      <c r="E112" s="848"/>
      <c r="F112" s="313">
        <v>0</v>
      </c>
      <c r="G112" s="171"/>
      <c r="H112" s="172"/>
      <c r="I112" s="172"/>
      <c r="J112" s="129"/>
      <c r="K112" s="129"/>
    </row>
    <row r="113" spans="1:11" x14ac:dyDescent="0.25">
      <c r="A113" s="134">
        <v>241</v>
      </c>
      <c r="B113" s="848" t="s">
        <v>918</v>
      </c>
      <c r="C113" s="848"/>
      <c r="D113" s="848"/>
      <c r="E113" s="848"/>
      <c r="F113" s="313">
        <v>0</v>
      </c>
      <c r="G113" s="171"/>
      <c r="H113" s="172"/>
      <c r="I113" s="172"/>
      <c r="J113" s="129"/>
      <c r="K113" s="129"/>
    </row>
    <row r="114" spans="1:11" x14ac:dyDescent="0.25">
      <c r="A114" s="134">
        <v>241</v>
      </c>
      <c r="B114" s="848" t="s">
        <v>386</v>
      </c>
      <c r="C114" s="848"/>
      <c r="D114" s="848"/>
      <c r="E114" s="848"/>
      <c r="F114" s="313">
        <v>0</v>
      </c>
      <c r="G114" s="171"/>
      <c r="H114" s="172"/>
      <c r="I114" s="172"/>
      <c r="J114" s="129"/>
      <c r="K114" s="129"/>
    </row>
    <row r="115" spans="1:11" s="607" customFormat="1" x14ac:dyDescent="0.25">
      <c r="A115" s="134">
        <v>241</v>
      </c>
      <c r="B115" s="848" t="s">
        <v>1177</v>
      </c>
      <c r="C115" s="848"/>
      <c r="D115" s="848"/>
      <c r="E115" s="848"/>
      <c r="F115" s="313">
        <v>0</v>
      </c>
      <c r="G115" s="171"/>
      <c r="H115" s="172"/>
      <c r="I115" s="172"/>
      <c r="J115" s="606"/>
      <c r="K115" s="606"/>
    </row>
    <row r="116" spans="1:11" x14ac:dyDescent="0.25">
      <c r="A116" s="134">
        <v>241</v>
      </c>
      <c r="B116" s="851" t="s">
        <v>946</v>
      </c>
      <c r="C116" s="851"/>
      <c r="D116" s="851"/>
      <c r="E116" s="851"/>
      <c r="F116" s="313">
        <v>0</v>
      </c>
      <c r="G116" s="171"/>
      <c r="H116" s="172"/>
      <c r="I116" s="172"/>
      <c r="J116" s="129"/>
      <c r="K116" s="129"/>
    </row>
    <row r="117" spans="1:11" x14ac:dyDescent="0.25">
      <c r="A117" s="134">
        <v>241</v>
      </c>
      <c r="B117" s="852" t="s">
        <v>1107</v>
      </c>
      <c r="C117" s="852"/>
      <c r="D117" s="852"/>
      <c r="E117" s="852"/>
      <c r="F117" s="313">
        <v>0</v>
      </c>
      <c r="G117" s="558"/>
      <c r="H117" s="172"/>
      <c r="I117" s="558"/>
      <c r="J117" s="129"/>
      <c r="K117" s="129"/>
    </row>
    <row r="118" spans="1:11" x14ac:dyDescent="0.25">
      <c r="A118" s="134">
        <v>241</v>
      </c>
      <c r="B118" s="851" t="s">
        <v>944</v>
      </c>
      <c r="C118" s="851"/>
      <c r="D118" s="851"/>
      <c r="E118" s="851"/>
      <c r="F118" s="313">
        <v>0</v>
      </c>
      <c r="G118" s="171"/>
      <c r="H118" s="172"/>
      <c r="I118" s="172"/>
      <c r="J118" s="129"/>
      <c r="K118" s="129"/>
    </row>
    <row r="119" spans="1:11" x14ac:dyDescent="0.25">
      <c r="A119" s="9"/>
      <c r="B119" s="848" t="s">
        <v>138</v>
      </c>
      <c r="C119" s="848"/>
      <c r="D119" s="848"/>
      <c r="E119" s="848"/>
      <c r="F119" s="316">
        <f>SUM(F100:F118)</f>
        <v>0</v>
      </c>
      <c r="G119" s="181"/>
      <c r="H119" s="172"/>
      <c r="I119" s="172"/>
      <c r="J119" s="129"/>
      <c r="K119" s="129"/>
    </row>
    <row r="120" spans="1:11" x14ac:dyDescent="0.25">
      <c r="A120" s="9"/>
      <c r="B120" s="848" t="s">
        <v>139</v>
      </c>
      <c r="C120" s="848"/>
      <c r="D120" s="848"/>
      <c r="E120" s="848"/>
      <c r="F120" s="316">
        <f>F97+F119</f>
        <v>0</v>
      </c>
      <c r="G120" s="181"/>
      <c r="H120" s="172"/>
      <c r="I120" s="172"/>
      <c r="J120" s="129"/>
      <c r="K120" s="129"/>
    </row>
    <row r="121" spans="1:11" x14ac:dyDescent="0.25">
      <c r="A121" s="9"/>
      <c r="B121" s="127"/>
      <c r="C121" s="127"/>
      <c r="D121" s="127"/>
      <c r="E121" s="127"/>
      <c r="F121" s="181"/>
      <c r="G121" s="181"/>
      <c r="H121" s="172"/>
      <c r="I121" s="172"/>
      <c r="J121" s="129"/>
      <c r="K121" s="129"/>
    </row>
    <row r="122" spans="1:11" x14ac:dyDescent="0.25">
      <c r="A122" s="9"/>
      <c r="B122" s="124" t="s">
        <v>680</v>
      </c>
      <c r="C122" s="127"/>
      <c r="F122" s="181"/>
      <c r="G122" s="181"/>
      <c r="H122" s="172"/>
      <c r="I122" s="172"/>
      <c r="J122" s="129"/>
      <c r="K122" s="129"/>
    </row>
    <row r="123" spans="1:11" x14ac:dyDescent="0.25">
      <c r="A123" s="134">
        <v>270</v>
      </c>
      <c r="B123" s="848" t="s">
        <v>681</v>
      </c>
      <c r="C123" s="848"/>
      <c r="D123" s="848"/>
      <c r="E123" s="848"/>
      <c r="F123" s="313">
        <v>0</v>
      </c>
      <c r="G123" s="181"/>
      <c r="H123" s="172"/>
      <c r="I123" s="172"/>
      <c r="J123" s="129"/>
      <c r="K123" s="129"/>
    </row>
    <row r="124" spans="1:11" x14ac:dyDescent="0.25">
      <c r="A124" s="134">
        <v>275</v>
      </c>
      <c r="B124" s="848" t="s">
        <v>688</v>
      </c>
      <c r="C124" s="848"/>
      <c r="D124" s="848"/>
      <c r="E124" s="848"/>
      <c r="F124" s="313">
        <v>0</v>
      </c>
      <c r="G124" s="181"/>
      <c r="H124" s="172"/>
      <c r="I124" s="172"/>
      <c r="J124" s="129"/>
      <c r="K124" s="129"/>
    </row>
    <row r="125" spans="1:11" x14ac:dyDescent="0.25">
      <c r="A125" s="134">
        <v>280</v>
      </c>
      <c r="B125" s="848" t="s">
        <v>777</v>
      </c>
      <c r="C125" s="848"/>
      <c r="D125" s="848"/>
      <c r="E125" s="848"/>
      <c r="F125" s="313">
        <v>0</v>
      </c>
      <c r="G125" s="181"/>
      <c r="H125" s="172"/>
      <c r="I125" s="172"/>
      <c r="J125" s="129"/>
      <c r="K125" s="129"/>
    </row>
    <row r="126" spans="1:11" x14ac:dyDescent="0.25">
      <c r="A126" s="134">
        <v>285</v>
      </c>
      <c r="B126" s="848" t="s">
        <v>778</v>
      </c>
      <c r="C126" s="848"/>
      <c r="D126" s="848"/>
      <c r="E126" s="848"/>
      <c r="F126" s="313">
        <v>0</v>
      </c>
      <c r="G126" s="181"/>
      <c r="H126" s="172"/>
      <c r="I126" s="172"/>
      <c r="J126" s="129"/>
      <c r="K126" s="129"/>
    </row>
    <row r="127" spans="1:11" x14ac:dyDescent="0.25">
      <c r="A127" s="134">
        <v>287</v>
      </c>
      <c r="B127" s="851" t="s">
        <v>924</v>
      </c>
      <c r="C127" s="851"/>
      <c r="D127" s="851"/>
      <c r="E127" s="851"/>
      <c r="F127" s="313">
        <v>0</v>
      </c>
      <c r="G127" s="181"/>
      <c r="H127" s="172"/>
      <c r="I127" s="172"/>
      <c r="J127" s="129"/>
      <c r="K127" s="129"/>
    </row>
    <row r="128" spans="1:11" x14ac:dyDescent="0.25">
      <c r="A128" s="134">
        <v>291</v>
      </c>
      <c r="B128" s="863" t="s">
        <v>1112</v>
      </c>
      <c r="C128" s="863"/>
      <c r="D128" s="863"/>
      <c r="E128" s="863"/>
      <c r="F128" s="313">
        <v>0</v>
      </c>
      <c r="G128" s="558"/>
      <c r="H128" s="172"/>
      <c r="I128" s="558"/>
      <c r="J128" s="129"/>
      <c r="K128" s="129"/>
    </row>
    <row r="129" spans="1:11" x14ac:dyDescent="0.25">
      <c r="A129" s="134">
        <v>288</v>
      </c>
      <c r="B129" s="851" t="s">
        <v>947</v>
      </c>
      <c r="C129" s="851"/>
      <c r="D129" s="851"/>
      <c r="E129" s="851"/>
      <c r="F129" s="313">
        <v>0</v>
      </c>
      <c r="G129" s="558"/>
      <c r="H129" s="172"/>
      <c r="I129" s="172"/>
      <c r="J129" s="129"/>
      <c r="K129" s="129"/>
    </row>
    <row r="130" spans="1:11" x14ac:dyDescent="0.25">
      <c r="A130" s="134">
        <v>289</v>
      </c>
      <c r="B130" s="852" t="s">
        <v>1108</v>
      </c>
      <c r="C130" s="852"/>
      <c r="D130" s="852"/>
      <c r="E130" s="852"/>
      <c r="F130" s="313">
        <v>0</v>
      </c>
      <c r="G130" s="558"/>
      <c r="H130" s="172"/>
      <c r="I130" s="558"/>
      <c r="J130" s="129"/>
      <c r="K130" s="129"/>
    </row>
    <row r="131" spans="1:11" s="783" customFormat="1" x14ac:dyDescent="0.25">
      <c r="A131" s="134">
        <v>292</v>
      </c>
      <c r="B131" s="864" t="s">
        <v>1417</v>
      </c>
      <c r="C131" s="864"/>
      <c r="D131" s="864"/>
      <c r="E131" s="864"/>
      <c r="F131" s="313">
        <v>0</v>
      </c>
      <c r="G131" s="785" t="s">
        <v>1410</v>
      </c>
      <c r="H131" s="785"/>
      <c r="I131" s="558"/>
      <c r="J131" s="781"/>
      <c r="K131" s="781"/>
    </row>
    <row r="132" spans="1:11" x14ac:dyDescent="0.25">
      <c r="A132" s="134">
        <v>290</v>
      </c>
      <c r="B132" s="851" t="s">
        <v>941</v>
      </c>
      <c r="C132" s="851"/>
      <c r="D132" s="851"/>
      <c r="E132" s="851"/>
      <c r="F132" s="313">
        <v>0</v>
      </c>
      <c r="G132" s="181"/>
      <c r="H132" s="172"/>
      <c r="I132" s="172"/>
      <c r="J132" s="129"/>
      <c r="K132" s="129"/>
    </row>
    <row r="133" spans="1:11" x14ac:dyDescent="0.25">
      <c r="A133" s="9"/>
      <c r="B133" s="848" t="s">
        <v>697</v>
      </c>
      <c r="C133" s="848"/>
      <c r="D133" s="848"/>
      <c r="E133" s="848"/>
      <c r="F133" s="316">
        <f>SUM(F123:F132)</f>
        <v>0</v>
      </c>
      <c r="G133" s="181"/>
      <c r="H133" s="172"/>
      <c r="I133" s="172"/>
      <c r="J133" s="129"/>
      <c r="K133" s="129"/>
    </row>
    <row r="134" spans="1:11" x14ac:dyDescent="0.25">
      <c r="A134" s="9"/>
      <c r="B134" s="127"/>
      <c r="C134" s="127"/>
      <c r="D134" s="127"/>
      <c r="E134" s="127"/>
      <c r="F134" s="181"/>
      <c r="G134" s="181"/>
      <c r="H134" s="172"/>
      <c r="I134" s="172"/>
      <c r="J134" s="129"/>
      <c r="K134" s="129"/>
    </row>
    <row r="135" spans="1:11" ht="11.85" customHeight="1" x14ac:dyDescent="0.25">
      <c r="A135" s="9"/>
      <c r="B135" s="125" t="s">
        <v>674</v>
      </c>
      <c r="C135" s="125"/>
      <c r="F135" s="175"/>
      <c r="G135" s="175"/>
      <c r="H135" s="176"/>
      <c r="I135" s="176"/>
      <c r="J135" s="125"/>
      <c r="K135" s="125"/>
    </row>
    <row r="136" spans="1:11" x14ac:dyDescent="0.25">
      <c r="A136" s="9">
        <v>300</v>
      </c>
      <c r="B136" s="848" t="s">
        <v>730</v>
      </c>
      <c r="C136" s="848"/>
      <c r="D136" s="848"/>
      <c r="E136" s="848"/>
      <c r="F136" s="352">
        <v>0</v>
      </c>
      <c r="G136" s="354" t="str">
        <f>IF(F136&lt;=F57+F58," ","Problem: Must be less than or equal to total capital assets, deprec &amp; nondeprec")</f>
        <v xml:space="preserve"> </v>
      </c>
      <c r="H136" s="172"/>
      <c r="I136" s="172"/>
      <c r="J136" s="129"/>
      <c r="K136" s="129"/>
    </row>
    <row r="137" spans="1:11" x14ac:dyDescent="0.25">
      <c r="A137" s="9"/>
      <c r="B137" s="9" t="s">
        <v>262</v>
      </c>
      <c r="C137" s="9"/>
      <c r="F137" s="175"/>
      <c r="G137" s="175"/>
      <c r="H137" s="172"/>
      <c r="I137" s="172"/>
      <c r="J137" s="9"/>
      <c r="K137" s="9"/>
    </row>
    <row r="138" spans="1:11" x14ac:dyDescent="0.25">
      <c r="A138" s="9"/>
      <c r="B138" s="9" t="s">
        <v>140</v>
      </c>
      <c r="C138" s="9"/>
      <c r="F138" s="175"/>
      <c r="G138" s="175"/>
      <c r="H138" s="172"/>
      <c r="I138" s="172"/>
      <c r="J138" s="9"/>
      <c r="K138" s="9"/>
    </row>
    <row r="139" spans="1:11" x14ac:dyDescent="0.25">
      <c r="A139" s="9">
        <v>305</v>
      </c>
      <c r="B139" s="848" t="s">
        <v>378</v>
      </c>
      <c r="C139" s="848"/>
      <c r="D139" s="848"/>
      <c r="E139" s="848"/>
      <c r="F139" s="313">
        <v>0</v>
      </c>
      <c r="G139" s="355" t="str">
        <f>IF(F139&lt;0,"Problem: Restricted net position cannot be negative - see Net Position Policy in instructions"," ")</f>
        <v xml:space="preserve"> </v>
      </c>
      <c r="H139" s="172"/>
      <c r="I139" s="172"/>
      <c r="J139" s="9"/>
      <c r="K139" s="9"/>
    </row>
    <row r="140" spans="1:11" x14ac:dyDescent="0.25">
      <c r="A140" s="9">
        <v>310</v>
      </c>
      <c r="B140" s="848" t="s">
        <v>141</v>
      </c>
      <c r="C140" s="848"/>
      <c r="D140" s="848"/>
      <c r="E140" s="848"/>
      <c r="F140" s="313">
        <v>0</v>
      </c>
      <c r="G140" s="355" t="str">
        <f>IF(F140&lt;0,"Problem: Restricted net position cannot be negative - see Net Position Policy in instructions"," ")</f>
        <v xml:space="preserve"> </v>
      </c>
      <c r="H140" s="172"/>
      <c r="I140" s="172"/>
      <c r="J140" s="129"/>
      <c r="K140" s="129"/>
    </row>
    <row r="141" spans="1:11" x14ac:dyDescent="0.25">
      <c r="A141" s="9">
        <v>315</v>
      </c>
      <c r="B141" s="848" t="s">
        <v>142</v>
      </c>
      <c r="C141" s="848"/>
      <c r="D141" s="848"/>
      <c r="E141" s="848"/>
      <c r="F141" s="313">
        <v>0</v>
      </c>
      <c r="G141" s="355" t="str">
        <f>IF(F141&lt;0,"Problem: Restricted net position cannot be negative - see Net Position Policy in instructions"," ")</f>
        <v xml:space="preserve"> </v>
      </c>
      <c r="H141" s="172"/>
      <c r="I141" s="172"/>
      <c r="J141" s="129"/>
      <c r="K141" s="129"/>
    </row>
    <row r="142" spans="1:11" x14ac:dyDescent="0.25">
      <c r="A142" s="9">
        <v>320</v>
      </c>
      <c r="B142" s="848" t="s">
        <v>246</v>
      </c>
      <c r="C142" s="848"/>
      <c r="D142" s="848"/>
      <c r="E142" s="848"/>
      <c r="F142" s="313">
        <v>0</v>
      </c>
      <c r="G142" s="171"/>
      <c r="H142" s="172"/>
      <c r="I142" s="172"/>
      <c r="J142" s="129"/>
      <c r="K142" s="129"/>
    </row>
    <row r="143" spans="1:11" ht="13.8" thickBot="1" x14ac:dyDescent="0.3">
      <c r="A143" s="9"/>
      <c r="B143" s="848" t="s">
        <v>676</v>
      </c>
      <c r="C143" s="848"/>
      <c r="D143" s="848"/>
      <c r="E143" s="848"/>
      <c r="F143" s="318">
        <f>SUM(F135:F142)</f>
        <v>0</v>
      </c>
      <c r="G143" s="169"/>
      <c r="H143" s="129"/>
      <c r="I143" s="129"/>
      <c r="J143" s="129"/>
      <c r="K143" s="129"/>
    </row>
    <row r="144" spans="1:11" ht="2.1" customHeight="1" thickTop="1" x14ac:dyDescent="0.25">
      <c r="A144" s="9"/>
      <c r="B144" s="129"/>
      <c r="C144" s="129"/>
      <c r="H144" s="129"/>
      <c r="I144" s="129"/>
      <c r="J144" s="129"/>
      <c r="K144" s="129"/>
    </row>
    <row r="145" spans="1:11" ht="13.8" x14ac:dyDescent="0.3">
      <c r="A145" s="9"/>
      <c r="B145" s="134" t="s">
        <v>684</v>
      </c>
      <c r="C145" s="9"/>
      <c r="D145" s="129"/>
      <c r="E145" s="129"/>
      <c r="F145" s="133" t="str">
        <f>IF(ROUND(F60+F69-F120-F133,2)=F143,"In Bal.","NOT BALANCED")</f>
        <v>In Bal.</v>
      </c>
      <c r="G145" s="133"/>
      <c r="H145" s="129"/>
      <c r="I145" s="129"/>
      <c r="J145" s="129"/>
      <c r="K145" s="129"/>
    </row>
    <row r="146" spans="1:11" ht="5.0999999999999996" customHeight="1" x14ac:dyDescent="0.25">
      <c r="A146" s="9"/>
      <c r="C146" s="134"/>
      <c r="H146" s="134"/>
      <c r="I146" s="134"/>
      <c r="J146" s="134"/>
      <c r="K146" s="134"/>
    </row>
    <row r="147" spans="1:11" x14ac:dyDescent="0.25">
      <c r="A147" s="9"/>
      <c r="B147" s="858" t="s">
        <v>195</v>
      </c>
      <c r="C147" s="858"/>
      <c r="D147" s="858"/>
      <c r="E147" s="858"/>
      <c r="F147" s="190" t="str">
        <f>CONCATENATE("FYE ",+TEXT(Data!$A$2,"mmmm d,yyyy"))</f>
        <v>FYE June 30,2022</v>
      </c>
      <c r="H147" s="134"/>
      <c r="I147" s="134"/>
      <c r="J147" s="134"/>
      <c r="K147" s="134"/>
    </row>
    <row r="148" spans="1:11" x14ac:dyDescent="0.25">
      <c r="A148" s="9"/>
      <c r="B148" s="135" t="s">
        <v>143</v>
      </c>
      <c r="C148" s="135"/>
      <c r="H148" s="135"/>
      <c r="I148" s="135"/>
      <c r="J148" s="135"/>
      <c r="K148" s="135"/>
    </row>
    <row r="149" spans="1:11" x14ac:dyDescent="0.25">
      <c r="A149" s="9">
        <v>500</v>
      </c>
      <c r="B149" s="850" t="s">
        <v>144</v>
      </c>
      <c r="C149" s="850"/>
      <c r="D149" s="850"/>
      <c r="E149" s="850"/>
      <c r="F149" s="314">
        <v>0</v>
      </c>
      <c r="G149" s="136"/>
      <c r="H149" s="129"/>
      <c r="I149" s="129"/>
      <c r="J149" s="129"/>
      <c r="K149" s="129"/>
    </row>
    <row r="150" spans="1:11" x14ac:dyDescent="0.25">
      <c r="A150" s="9">
        <v>500</v>
      </c>
      <c r="B150" s="850" t="s">
        <v>145</v>
      </c>
      <c r="C150" s="850"/>
      <c r="D150" s="850"/>
      <c r="E150" s="850"/>
      <c r="F150" s="313">
        <v>0</v>
      </c>
      <c r="G150" s="128"/>
      <c r="H150" s="129"/>
      <c r="I150" s="129"/>
      <c r="J150" s="129"/>
      <c r="K150" s="129"/>
    </row>
    <row r="151" spans="1:11" x14ac:dyDescent="0.25">
      <c r="A151" s="9">
        <v>500</v>
      </c>
      <c r="B151" s="850" t="s">
        <v>146</v>
      </c>
      <c r="C151" s="850"/>
      <c r="D151" s="850"/>
      <c r="E151" s="850"/>
      <c r="F151" s="313">
        <v>0</v>
      </c>
      <c r="G151" s="128"/>
      <c r="H151" s="129"/>
      <c r="I151" s="129"/>
      <c r="J151" s="129"/>
      <c r="K151" s="129"/>
    </row>
    <row r="152" spans="1:11" x14ac:dyDescent="0.25">
      <c r="A152" s="9">
        <v>500</v>
      </c>
      <c r="B152" s="850" t="s">
        <v>147</v>
      </c>
      <c r="C152" s="850"/>
      <c r="D152" s="850"/>
      <c r="E152" s="850"/>
      <c r="F152" s="313">
        <v>0</v>
      </c>
      <c r="G152" s="128"/>
      <c r="H152" s="129"/>
      <c r="I152" s="129"/>
      <c r="J152" s="129"/>
      <c r="K152" s="129"/>
    </row>
    <row r="153" spans="1:11" x14ac:dyDescent="0.25">
      <c r="A153" s="9">
        <v>500</v>
      </c>
      <c r="B153" s="850" t="s">
        <v>148</v>
      </c>
      <c r="C153" s="850"/>
      <c r="D153" s="850"/>
      <c r="E153" s="850"/>
      <c r="F153" s="313">
        <v>0</v>
      </c>
      <c r="G153" s="128"/>
      <c r="H153" s="129"/>
      <c r="I153" s="129"/>
      <c r="J153" s="129"/>
      <c r="K153" s="129"/>
    </row>
    <row r="154" spans="1:11" x14ac:dyDescent="0.25">
      <c r="A154" s="9">
        <v>500</v>
      </c>
      <c r="B154" s="850" t="s">
        <v>149</v>
      </c>
      <c r="C154" s="850"/>
      <c r="D154" s="850"/>
      <c r="E154" s="850"/>
      <c r="F154" s="313">
        <v>0</v>
      </c>
      <c r="G154" s="128"/>
      <c r="H154" s="129"/>
      <c r="I154" s="129"/>
      <c r="J154" s="129"/>
      <c r="K154" s="129"/>
    </row>
    <row r="155" spans="1:11" x14ac:dyDescent="0.25">
      <c r="A155" s="9">
        <v>500</v>
      </c>
      <c r="B155" s="850" t="s">
        <v>150</v>
      </c>
      <c r="C155" s="850"/>
      <c r="D155" s="850"/>
      <c r="E155" s="850"/>
      <c r="F155" s="313">
        <v>0</v>
      </c>
      <c r="G155" s="128"/>
      <c r="H155" s="129"/>
      <c r="I155" s="129"/>
      <c r="J155" s="129"/>
      <c r="K155" s="129"/>
    </row>
    <row r="156" spans="1:11" x14ac:dyDescent="0.25">
      <c r="A156" s="9">
        <v>500</v>
      </c>
      <c r="B156" s="850" t="s">
        <v>151</v>
      </c>
      <c r="C156" s="850"/>
      <c r="D156" s="850"/>
      <c r="E156" s="850"/>
      <c r="F156" s="313">
        <v>0</v>
      </c>
      <c r="G156" s="128"/>
      <c r="H156" s="129"/>
      <c r="I156" s="129"/>
      <c r="J156" s="129"/>
      <c r="K156" s="129"/>
    </row>
    <row r="157" spans="1:11" x14ac:dyDescent="0.25">
      <c r="A157" s="9"/>
      <c r="B157" s="848" t="s">
        <v>152</v>
      </c>
      <c r="C157" s="848"/>
      <c r="D157" s="848"/>
      <c r="E157" s="848"/>
      <c r="F157" s="316">
        <f>SUM(F148:F156)</f>
        <v>0</v>
      </c>
      <c r="G157" s="137"/>
      <c r="H157" s="129"/>
      <c r="I157" s="129"/>
      <c r="J157" s="129"/>
      <c r="K157" s="129"/>
    </row>
    <row r="158" spans="1:11" x14ac:dyDescent="0.25">
      <c r="A158" s="9">
        <v>600</v>
      </c>
      <c r="B158" s="868" t="s">
        <v>153</v>
      </c>
      <c r="C158" s="868"/>
      <c r="D158" s="868"/>
      <c r="E158" s="868"/>
      <c r="F158" s="324">
        <v>0</v>
      </c>
      <c r="G158" s="137"/>
      <c r="H158" s="129"/>
      <c r="I158" s="129"/>
      <c r="J158" s="129"/>
      <c r="K158" s="129"/>
    </row>
    <row r="159" spans="1:11" x14ac:dyDescent="0.25">
      <c r="A159" s="9"/>
      <c r="B159" s="848" t="s">
        <v>154</v>
      </c>
      <c r="C159" s="848"/>
      <c r="D159" s="848"/>
      <c r="E159" s="848"/>
      <c r="F159" s="316">
        <f>F157-F158</f>
        <v>0</v>
      </c>
      <c r="G159" s="137"/>
      <c r="H159" s="129"/>
      <c r="I159" s="129"/>
      <c r="J159" s="129"/>
      <c r="K159" s="129"/>
    </row>
    <row r="160" spans="1:11" x14ac:dyDescent="0.25">
      <c r="A160" s="9"/>
      <c r="B160" s="125" t="s">
        <v>193</v>
      </c>
      <c r="C160" s="125"/>
      <c r="F160" s="175"/>
      <c r="H160" s="125"/>
      <c r="I160" s="125"/>
      <c r="J160" s="125"/>
      <c r="K160" s="125"/>
    </row>
    <row r="161" spans="1:11" x14ac:dyDescent="0.25">
      <c r="A161" s="329">
        <v>508</v>
      </c>
      <c r="B161" s="867" t="s">
        <v>617</v>
      </c>
      <c r="C161" s="867"/>
      <c r="D161" s="867"/>
      <c r="E161" s="867"/>
      <c r="F161" s="330">
        <v>0</v>
      </c>
      <c r="G161" s="331"/>
      <c r="H161" s="129"/>
      <c r="I161" s="129"/>
      <c r="J161" s="129"/>
      <c r="K161" s="129"/>
    </row>
    <row r="162" spans="1:11" s="646" customFormat="1" x14ac:dyDescent="0.25">
      <c r="A162" s="329">
        <v>509</v>
      </c>
      <c r="B162" s="869" t="s">
        <v>1306</v>
      </c>
      <c r="C162" s="869"/>
      <c r="D162" s="869"/>
      <c r="E162" s="869"/>
      <c r="F162" s="330">
        <v>0</v>
      </c>
      <c r="G162" s="331"/>
      <c r="H162" s="650"/>
      <c r="I162" s="651"/>
      <c r="J162" s="651"/>
      <c r="K162" s="645"/>
    </row>
    <row r="163" spans="1:11" x14ac:dyDescent="0.25">
      <c r="A163" s="9">
        <v>512</v>
      </c>
      <c r="B163" s="866" t="s">
        <v>155</v>
      </c>
      <c r="C163" s="866"/>
      <c r="D163" s="866"/>
      <c r="E163" s="866"/>
      <c r="F163" s="313">
        <v>0</v>
      </c>
      <c r="G163" s="128"/>
      <c r="H163" s="129"/>
      <c r="I163" s="129"/>
      <c r="J163" s="129"/>
      <c r="K163" s="129"/>
    </row>
    <row r="164" spans="1:11" s="646" customFormat="1" x14ac:dyDescent="0.25">
      <c r="A164" s="134" t="s">
        <v>1213</v>
      </c>
      <c r="B164" s="860" t="s">
        <v>1223</v>
      </c>
      <c r="C164" s="860"/>
      <c r="D164" s="860"/>
      <c r="E164" s="860"/>
      <c r="F164" s="313">
        <v>0</v>
      </c>
      <c r="G164" s="128"/>
      <c r="H164" s="650"/>
      <c r="I164" s="645"/>
      <c r="J164" s="645"/>
      <c r="K164" s="645"/>
    </row>
    <row r="165" spans="1:11" x14ac:dyDescent="0.25">
      <c r="A165" s="9">
        <v>512</v>
      </c>
      <c r="B165" s="866" t="s">
        <v>156</v>
      </c>
      <c r="C165" s="866"/>
      <c r="D165" s="866"/>
      <c r="E165" s="866"/>
      <c r="F165" s="313">
        <v>0</v>
      </c>
      <c r="G165" s="128"/>
      <c r="H165" s="129"/>
      <c r="I165" s="129"/>
      <c r="J165" s="129"/>
      <c r="K165" s="129"/>
    </row>
    <row r="166" spans="1:11" s="743" customFormat="1" x14ac:dyDescent="0.25">
      <c r="A166" s="9">
        <v>515</v>
      </c>
      <c r="B166" s="870" t="s">
        <v>1351</v>
      </c>
      <c r="C166" s="871"/>
      <c r="D166" s="871"/>
      <c r="E166" s="871"/>
      <c r="F166" s="313">
        <v>0</v>
      </c>
      <c r="G166" s="749"/>
      <c r="H166" s="742"/>
      <c r="I166" s="742"/>
      <c r="J166" s="742"/>
      <c r="K166" s="742"/>
    </row>
    <row r="167" spans="1:11" x14ac:dyDescent="0.25">
      <c r="A167" s="329">
        <v>510</v>
      </c>
      <c r="B167" s="867" t="s">
        <v>618</v>
      </c>
      <c r="C167" s="867"/>
      <c r="D167" s="867"/>
      <c r="E167" s="867"/>
      <c r="F167" s="330">
        <v>0</v>
      </c>
      <c r="G167" s="331"/>
      <c r="H167" s="129"/>
      <c r="I167" s="129"/>
      <c r="J167" s="129"/>
      <c r="K167" s="129"/>
    </row>
    <row r="168" spans="1:11" x14ac:dyDescent="0.25">
      <c r="A168" s="9">
        <v>520</v>
      </c>
      <c r="B168" s="866" t="s">
        <v>157</v>
      </c>
      <c r="C168" s="866"/>
      <c r="D168" s="866"/>
      <c r="E168" s="866"/>
      <c r="F168" s="332">
        <v>0</v>
      </c>
      <c r="G168" s="335" t="str">
        <f>IF(F168&lt;0, "Problem: Revenue must be entered as positive number; if loss, key with nonoperating expense caption below"," ")</f>
        <v xml:space="preserve"> </v>
      </c>
      <c r="H168" s="129"/>
      <c r="I168" s="129"/>
      <c r="J168" s="129"/>
      <c r="K168" s="129"/>
    </row>
    <row r="169" spans="1:11" x14ac:dyDescent="0.25">
      <c r="A169" s="9">
        <v>512</v>
      </c>
      <c r="B169" s="850" t="s">
        <v>1113</v>
      </c>
      <c r="C169" s="866"/>
      <c r="D169" s="866"/>
      <c r="E169" s="866"/>
      <c r="F169" s="313">
        <v>0</v>
      </c>
      <c r="G169" s="558"/>
      <c r="H169" s="129"/>
      <c r="I169" s="558"/>
      <c r="J169" s="129"/>
      <c r="K169" s="129"/>
    </row>
    <row r="170" spans="1:11" x14ac:dyDescent="0.25">
      <c r="A170" s="329">
        <v>512</v>
      </c>
      <c r="B170" s="867" t="s">
        <v>1061</v>
      </c>
      <c r="C170" s="867"/>
      <c r="D170" s="867"/>
      <c r="E170" s="867"/>
      <c r="F170" s="313">
        <v>0</v>
      </c>
      <c r="G170" s="128"/>
      <c r="H170" s="129"/>
      <c r="I170" s="129"/>
      <c r="J170" s="129"/>
      <c r="K170" s="129"/>
    </row>
    <row r="171" spans="1:11" x14ac:dyDescent="0.25">
      <c r="A171" s="329">
        <v>514</v>
      </c>
      <c r="B171" s="867" t="s">
        <v>1062</v>
      </c>
      <c r="C171" s="867"/>
      <c r="D171" s="867"/>
      <c r="E171" s="867"/>
      <c r="F171" s="313">
        <v>0</v>
      </c>
      <c r="G171" s="128"/>
      <c r="H171" s="129"/>
      <c r="I171" s="129"/>
      <c r="J171" s="129"/>
      <c r="K171" s="129"/>
    </row>
    <row r="172" spans="1:11" x14ac:dyDescent="0.25">
      <c r="A172" s="9">
        <v>520</v>
      </c>
      <c r="B172" s="866" t="s">
        <v>158</v>
      </c>
      <c r="C172" s="866"/>
      <c r="D172" s="866"/>
      <c r="E172" s="866"/>
      <c r="F172" s="313">
        <v>0</v>
      </c>
      <c r="G172" s="128"/>
      <c r="H172" s="129"/>
      <c r="I172" s="129"/>
      <c r="J172" s="129"/>
      <c r="K172" s="129"/>
    </row>
    <row r="173" spans="1:11" s="789" customFormat="1" x14ac:dyDescent="0.25">
      <c r="A173" s="9">
        <v>521</v>
      </c>
      <c r="B173" s="872" t="s">
        <v>1421</v>
      </c>
      <c r="C173" s="873"/>
      <c r="D173" s="873"/>
      <c r="E173" s="873"/>
      <c r="F173" s="313">
        <v>0</v>
      </c>
      <c r="G173" s="785" t="s">
        <v>1410</v>
      </c>
      <c r="H173" s="785"/>
      <c r="I173" s="788"/>
      <c r="J173" s="788"/>
      <c r="K173" s="788"/>
    </row>
    <row r="174" spans="1:11" x14ac:dyDescent="0.25">
      <c r="A174" s="9">
        <v>520</v>
      </c>
      <c r="B174" s="866" t="s">
        <v>159</v>
      </c>
      <c r="C174" s="866"/>
      <c r="D174" s="866"/>
      <c r="E174" s="866"/>
      <c r="F174" s="334">
        <v>0</v>
      </c>
      <c r="G174" s="335" t="str">
        <f>IF(F174&lt;0, "Problem: Revenue must be entered as positive number; if expense,  key with nonoperating expense caption below"," ")</f>
        <v xml:space="preserve"> </v>
      </c>
      <c r="H174" s="129"/>
      <c r="I174" s="129"/>
      <c r="J174" s="129"/>
      <c r="K174" s="129"/>
    </row>
    <row r="175" spans="1:11" x14ac:dyDescent="0.25">
      <c r="A175" s="9"/>
      <c r="B175" s="848" t="s">
        <v>194</v>
      </c>
      <c r="C175" s="848"/>
      <c r="D175" s="848"/>
      <c r="E175" s="848"/>
      <c r="F175" s="319">
        <f>SUM(F161:F174)</f>
        <v>0</v>
      </c>
      <c r="G175" s="128"/>
      <c r="H175" s="129"/>
      <c r="I175" s="129"/>
      <c r="J175" s="129"/>
      <c r="K175" s="129"/>
    </row>
    <row r="176" spans="1:11" x14ac:dyDescent="0.25">
      <c r="A176" s="9">
        <v>600</v>
      </c>
      <c r="B176" s="868" t="s">
        <v>382</v>
      </c>
      <c r="C176" s="868"/>
      <c r="D176" s="868"/>
      <c r="E176" s="868"/>
      <c r="F176" s="315">
        <v>0</v>
      </c>
      <c r="G176" s="128"/>
      <c r="H176" s="129"/>
      <c r="I176" s="129"/>
      <c r="J176" s="129"/>
      <c r="K176" s="129"/>
    </row>
    <row r="177" spans="1:11" x14ac:dyDescent="0.25">
      <c r="A177" s="9"/>
      <c r="B177" s="848" t="s">
        <v>160</v>
      </c>
      <c r="C177" s="848"/>
      <c r="D177" s="848"/>
      <c r="E177" s="848"/>
      <c r="F177" s="372">
        <f>F175-F176</f>
        <v>0</v>
      </c>
      <c r="G177" s="137"/>
      <c r="H177" s="129"/>
      <c r="I177" s="129"/>
      <c r="J177" s="129"/>
      <c r="K177" s="129"/>
    </row>
    <row r="178" spans="1:11" x14ac:dyDescent="0.25">
      <c r="A178" s="9"/>
      <c r="B178" s="848" t="s">
        <v>161</v>
      </c>
      <c r="C178" s="848"/>
      <c r="D178" s="848"/>
      <c r="E178" s="848"/>
      <c r="F178" s="319">
        <f>F159+F177</f>
        <v>0</v>
      </c>
      <c r="G178" s="137"/>
      <c r="H178" s="129"/>
      <c r="I178" s="129"/>
      <c r="J178" s="129"/>
      <c r="K178" s="129"/>
    </row>
    <row r="179" spans="1:11" x14ac:dyDescent="0.25">
      <c r="A179" s="329">
        <v>511</v>
      </c>
      <c r="B179" s="874" t="s">
        <v>326</v>
      </c>
      <c r="C179" s="874"/>
      <c r="D179" s="874"/>
      <c r="E179" s="874"/>
      <c r="F179" s="330">
        <v>0</v>
      </c>
      <c r="G179" s="331"/>
      <c r="H179" s="129"/>
      <c r="I179" s="129"/>
      <c r="J179" s="129"/>
      <c r="K179" s="129"/>
    </row>
    <row r="180" spans="1:11" x14ac:dyDescent="0.25">
      <c r="A180" s="9">
        <v>513</v>
      </c>
      <c r="B180" s="848" t="s">
        <v>162</v>
      </c>
      <c r="C180" s="848"/>
      <c r="D180" s="848"/>
      <c r="E180" s="848"/>
      <c r="F180" s="313">
        <v>0</v>
      </c>
      <c r="G180" s="128"/>
      <c r="H180" s="129"/>
      <c r="I180" s="129"/>
      <c r="J180" s="129"/>
      <c r="K180" s="129"/>
    </row>
    <row r="181" spans="1:11" x14ac:dyDescent="0.25">
      <c r="A181" s="9">
        <v>513</v>
      </c>
      <c r="B181" s="848" t="s">
        <v>163</v>
      </c>
      <c r="C181" s="848"/>
      <c r="D181" s="848"/>
      <c r="E181" s="848"/>
      <c r="F181" s="313">
        <v>0</v>
      </c>
      <c r="G181" s="128"/>
      <c r="H181" s="129"/>
      <c r="I181" s="129"/>
      <c r="J181" s="129"/>
      <c r="K181" s="129"/>
    </row>
    <row r="182" spans="1:11" x14ac:dyDescent="0.25">
      <c r="A182" s="9">
        <v>700</v>
      </c>
      <c r="B182" s="848" t="s">
        <v>164</v>
      </c>
      <c r="C182" s="848"/>
      <c r="D182" s="848"/>
      <c r="E182" s="848"/>
      <c r="F182" s="332">
        <v>0</v>
      </c>
      <c r="G182" s="333" t="str">
        <f>IF(AND(ABS(F182)&gt;=1,ABS(F182)&lt;10000000),"Problem: Under $10 million threshold - reclassify to another rev or exp"," ")</f>
        <v xml:space="preserve"> </v>
      </c>
      <c r="H182" s="129"/>
      <c r="I182" s="129"/>
      <c r="J182" s="129"/>
      <c r="K182" s="129"/>
    </row>
    <row r="183" spans="1:11" x14ac:dyDescent="0.25">
      <c r="A183" s="9">
        <v>701</v>
      </c>
      <c r="B183" s="848" t="s">
        <v>165</v>
      </c>
      <c r="C183" s="848"/>
      <c r="D183" s="848"/>
      <c r="E183" s="848"/>
      <c r="F183" s="334">
        <v>0</v>
      </c>
      <c r="G183" s="333" t="str">
        <f>IF(AND(ABS(F183)&gt;=1,ABS(F183)&lt;10000000),"Problem: Under $10 million threshold - reclassify to another rev or exp"," ")</f>
        <v xml:space="preserve"> </v>
      </c>
      <c r="H183" s="129"/>
      <c r="I183" s="129"/>
      <c r="J183" s="129"/>
      <c r="K183" s="129"/>
    </row>
    <row r="184" spans="1:11" x14ac:dyDescent="0.25">
      <c r="A184" s="9"/>
      <c r="B184" s="848" t="s">
        <v>687</v>
      </c>
      <c r="C184" s="848"/>
      <c r="D184" s="848"/>
      <c r="E184" s="848"/>
      <c r="F184" s="319">
        <f>SUM(F178:F183)</f>
        <v>0</v>
      </c>
      <c r="G184" s="137"/>
      <c r="H184" s="129"/>
      <c r="I184" s="129"/>
      <c r="J184" s="129"/>
      <c r="K184" s="129"/>
    </row>
    <row r="185" spans="1:11" x14ac:dyDescent="0.25">
      <c r="A185" s="9">
        <v>800</v>
      </c>
      <c r="B185" s="848" t="s">
        <v>685</v>
      </c>
      <c r="C185" s="848"/>
      <c r="D185" s="848"/>
      <c r="E185" s="848"/>
      <c r="F185" s="320">
        <f>IF(ISNA(MATCH(Index!$D$10,NMcompnum,0)),0,IF(INDEX(NMcomptable,MATCH(Index!$D$10,NMcompnum,0),5)="FASB",0,INDEX(NMcomptable,MATCH(Index!$D$10,NMcompnum,0),7)))</f>
        <v>897250000</v>
      </c>
      <c r="G185" s="198"/>
      <c r="H185" s="129"/>
      <c r="I185" s="129"/>
      <c r="J185" s="129"/>
      <c r="K185" s="129"/>
    </row>
    <row r="186" spans="1:11" x14ac:dyDescent="0.25">
      <c r="A186" s="9">
        <v>801</v>
      </c>
      <c r="B186" s="848" t="s">
        <v>288</v>
      </c>
      <c r="C186" s="848"/>
      <c r="D186" s="848"/>
      <c r="E186" s="848"/>
      <c r="F186" s="352">
        <v>0</v>
      </c>
      <c r="G186" s="353" t="str">
        <f>IF(F186&lt;&gt;'430'!D33,"Problem: Restatement must tie to worksheet 430 total"," ")</f>
        <v xml:space="preserve"> </v>
      </c>
      <c r="H186" s="129"/>
      <c r="I186" s="129"/>
      <c r="J186" s="129"/>
      <c r="K186" s="129"/>
    </row>
    <row r="187" spans="1:11" ht="13.8" thickBot="1" x14ac:dyDescent="0.3">
      <c r="A187" s="9"/>
      <c r="B187" s="848" t="s">
        <v>686</v>
      </c>
      <c r="C187" s="848"/>
      <c r="D187" s="848"/>
      <c r="E187" s="848"/>
      <c r="F187" s="318">
        <f>SUM(F184:F186)</f>
        <v>897250000</v>
      </c>
      <c r="G187" s="169"/>
      <c r="H187" s="129"/>
      <c r="I187" s="129"/>
      <c r="J187" s="129"/>
      <c r="K187" s="129"/>
    </row>
    <row r="188" spans="1:11" ht="2.1" customHeight="1" thickTop="1" x14ac:dyDescent="0.25"/>
    <row r="189" spans="1:11" ht="13.8" x14ac:dyDescent="0.3">
      <c r="B189" s="134" t="s">
        <v>689</v>
      </c>
      <c r="F189" s="133" t="str">
        <f>IF(ROUND(F143,2)=F187,"In Bal.","NOT BALANCED")</f>
        <v>NOT BALANCED</v>
      </c>
      <c r="G189" s="133"/>
    </row>
  </sheetData>
  <sheetProtection algorithmName="SHA-512" hashValue="JbqHn2VSb34yMhRFeQ5mEMnHwPyiV1/DNaFkglDJTS97bDM3+2cCJ2+z7mITd/8tcliJa7BRqn99K9iSpNbYSw==" saltValue="yJX2X7Xg+pnIiEvfH3TAqg==" spinCount="100000" sheet="1" objects="1" scenarios="1" autoFilter="0"/>
  <mergeCells count="161">
    <mergeCell ref="B187:E187"/>
    <mergeCell ref="B183:E183"/>
    <mergeCell ref="B184:E184"/>
    <mergeCell ref="B185:E185"/>
    <mergeCell ref="B186:E186"/>
    <mergeCell ref="B181:E181"/>
    <mergeCell ref="B182:E182"/>
    <mergeCell ref="B41:E41"/>
    <mergeCell ref="B34:E34"/>
    <mergeCell ref="B168:E168"/>
    <mergeCell ref="B171:E171"/>
    <mergeCell ref="B179:E179"/>
    <mergeCell ref="B91:E91"/>
    <mergeCell ref="B96:E96"/>
    <mergeCell ref="B172:E172"/>
    <mergeCell ref="B176:E176"/>
    <mergeCell ref="B177:E177"/>
    <mergeCell ref="B55:E55"/>
    <mergeCell ref="B87:E87"/>
    <mergeCell ref="B174:E174"/>
    <mergeCell ref="B180:E180"/>
    <mergeCell ref="B38:E38"/>
    <mergeCell ref="B40:E40"/>
    <mergeCell ref="B43:E43"/>
    <mergeCell ref="B157:E157"/>
    <mergeCell ref="B163:E163"/>
    <mergeCell ref="B161:E161"/>
    <mergeCell ref="B159:E159"/>
    <mergeCell ref="B158:E158"/>
    <mergeCell ref="B167:E167"/>
    <mergeCell ref="B165:E165"/>
    <mergeCell ref="B175:E175"/>
    <mergeCell ref="B178:E178"/>
    <mergeCell ref="B170:E170"/>
    <mergeCell ref="B169:E169"/>
    <mergeCell ref="B162:E162"/>
    <mergeCell ref="B164:E164"/>
    <mergeCell ref="B166:E166"/>
    <mergeCell ref="B173:E173"/>
    <mergeCell ref="B156:E156"/>
    <mergeCell ref="B119:E119"/>
    <mergeCell ref="B139:E139"/>
    <mergeCell ref="B155:E155"/>
    <mergeCell ref="F5:G5"/>
    <mergeCell ref="F6:G6"/>
    <mergeCell ref="F7:G7"/>
    <mergeCell ref="B120:E120"/>
    <mergeCell ref="B136:E136"/>
    <mergeCell ref="B26:E26"/>
    <mergeCell ref="B27:E27"/>
    <mergeCell ref="B47:E47"/>
    <mergeCell ref="B107:E107"/>
    <mergeCell ref="B104:E104"/>
    <mergeCell ref="B37:E37"/>
    <mergeCell ref="B30:E30"/>
    <mergeCell ref="B123:E123"/>
    <mergeCell ref="B133:E133"/>
    <mergeCell ref="B124:E124"/>
    <mergeCell ref="B108:E108"/>
    <mergeCell ref="B31:E31"/>
    <mergeCell ref="B33:E33"/>
    <mergeCell ref="B111:E111"/>
    <mergeCell ref="B114:E114"/>
    <mergeCell ref="B105:E105"/>
    <mergeCell ref="B106:E106"/>
    <mergeCell ref="B109:E109"/>
    <mergeCell ref="B110:E110"/>
    <mergeCell ref="B112:E112"/>
    <mergeCell ref="B140:E140"/>
    <mergeCell ref="B141:E141"/>
    <mergeCell ref="B118:E118"/>
    <mergeCell ref="B116:E116"/>
    <mergeCell ref="B129:E129"/>
    <mergeCell ref="B127:E127"/>
    <mergeCell ref="B113:E113"/>
    <mergeCell ref="B125:E125"/>
    <mergeCell ref="B126:E126"/>
    <mergeCell ref="B117:E117"/>
    <mergeCell ref="B130:E130"/>
    <mergeCell ref="B128:E128"/>
    <mergeCell ref="B115:E115"/>
    <mergeCell ref="B131:E131"/>
    <mergeCell ref="B153:E153"/>
    <mergeCell ref="B154:E154"/>
    <mergeCell ref="B143:E143"/>
    <mergeCell ref="B149:E149"/>
    <mergeCell ref="B147:E147"/>
    <mergeCell ref="B150:E150"/>
    <mergeCell ref="B151:E151"/>
    <mergeCell ref="B152:E152"/>
    <mergeCell ref="B132:E132"/>
    <mergeCell ref="B142:E142"/>
    <mergeCell ref="B101:E101"/>
    <mergeCell ref="B102:E102"/>
    <mergeCell ref="B103:E103"/>
    <mergeCell ref="B93:E93"/>
    <mergeCell ref="B84:E84"/>
    <mergeCell ref="B86:E86"/>
    <mergeCell ref="B85:E85"/>
    <mergeCell ref="B88:E88"/>
    <mergeCell ref="B89:E89"/>
    <mergeCell ref="B90:E90"/>
    <mergeCell ref="B97:E97"/>
    <mergeCell ref="B94:E94"/>
    <mergeCell ref="B92:E92"/>
    <mergeCell ref="B95:E95"/>
    <mergeCell ref="B24:E24"/>
    <mergeCell ref="B29:E29"/>
    <mergeCell ref="B59:E59"/>
    <mergeCell ref="B60:E60"/>
    <mergeCell ref="B74:E74"/>
    <mergeCell ref="B75:E75"/>
    <mergeCell ref="B63:E63"/>
    <mergeCell ref="B69:E69"/>
    <mergeCell ref="B64:E64"/>
    <mergeCell ref="B68:E68"/>
    <mergeCell ref="B66:E66"/>
    <mergeCell ref="B67:E67"/>
    <mergeCell ref="B32:E32"/>
    <mergeCell ref="B56:E56"/>
    <mergeCell ref="B65:E65"/>
    <mergeCell ref="B28:E28"/>
    <mergeCell ref="B46:E46"/>
    <mergeCell ref="A1:G1"/>
    <mergeCell ref="A2:G2"/>
    <mergeCell ref="A3:G3"/>
    <mergeCell ref="B13:E13"/>
    <mergeCell ref="C5:D5"/>
    <mergeCell ref="B14:E14"/>
    <mergeCell ref="C6:D6"/>
    <mergeCell ref="B10:E10"/>
    <mergeCell ref="B20:E20"/>
    <mergeCell ref="B18:E18"/>
    <mergeCell ref="B19:E19"/>
    <mergeCell ref="B17:E17"/>
    <mergeCell ref="B15:E15"/>
    <mergeCell ref="A9:G9"/>
    <mergeCell ref="B83:E83"/>
    <mergeCell ref="B22:E22"/>
    <mergeCell ref="B21:E21"/>
    <mergeCell ref="B45:E45"/>
    <mergeCell ref="B54:E54"/>
    <mergeCell ref="B52:E52"/>
    <mergeCell ref="B51:E51"/>
    <mergeCell ref="B42:E42"/>
    <mergeCell ref="B50:E50"/>
    <mergeCell ref="B53:E53"/>
    <mergeCell ref="B44:E44"/>
    <mergeCell ref="B48:E48"/>
    <mergeCell ref="B76:E76"/>
    <mergeCell ref="B77:E77"/>
    <mergeCell ref="B78:E78"/>
    <mergeCell ref="B79:E79"/>
    <mergeCell ref="B81:E81"/>
    <mergeCell ref="B82:E82"/>
    <mergeCell ref="B80:E80"/>
    <mergeCell ref="B57:E57"/>
    <mergeCell ref="B58:E58"/>
    <mergeCell ref="B49:E49"/>
    <mergeCell ref="B23:E23"/>
    <mergeCell ref="B25:E25"/>
  </mergeCells>
  <phoneticPr fontId="12" type="noConversion"/>
  <conditionalFormatting sqref="H1:H3">
    <cfRule type="cellIs" dxfId="47" priority="1" stopIfTrue="1" operator="equal">
      <formula>"na"</formula>
    </cfRule>
  </conditionalFormatting>
  <dataValidations disablePrompts="1" count="1">
    <dataValidation type="textLength" operator="equal" allowBlank="1" showInputMessage="1" showErrorMessage="1" errorTitle="Invalid data!" error="GASB number must be 4 digits." sqref="D7" xr:uid="{00000000-0002-0000-0200-000000000000}">
      <formula1>4</formula1>
    </dataValidation>
  </dataValidations>
  <hyperlinks>
    <hyperlink ref="A1:G1" location="Index!A1" display="Index!A1" xr:uid="{00000000-0004-0000-0200-000000000000}"/>
  </hyperlinks>
  <pageMargins left="0.95" right="0.45" top="0.5" bottom="0.5" header="0.3" footer="0.3"/>
  <pageSetup scale="93" orientation="portrait" r:id="rId1"/>
  <headerFooter>
    <oddFooter>&amp;R&amp;A</oddFooter>
  </headerFooter>
  <rowBreaks count="2" manualBreakCount="2">
    <brk id="61" max="16383" man="1"/>
    <brk id="12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I87"/>
  <sheetViews>
    <sheetView showGridLines="0" zoomScale="120" zoomScaleNormal="120" workbookViewId="0">
      <selection sqref="A1:XFD1"/>
    </sheetView>
  </sheetViews>
  <sheetFormatPr defaultRowHeight="13.2" x14ac:dyDescent="0.25"/>
  <cols>
    <col min="1" max="1" width="3.5546875" customWidth="1"/>
    <col min="2" max="2" width="8.5546875" customWidth="1"/>
    <col min="3" max="3" width="5.5546875" customWidth="1"/>
    <col min="4" max="4" width="28.5546875" customWidth="1"/>
    <col min="5" max="5" width="10.5546875" customWidth="1"/>
    <col min="6" max="7" width="15.5546875" customWidth="1"/>
    <col min="8" max="8" width="4.5546875" customWidth="1"/>
  </cols>
  <sheetData>
    <row r="1" spans="1:8" ht="25.2" customHeight="1" x14ac:dyDescent="0.3">
      <c r="A1" s="854" t="str">
        <f>+Index!$A$1</f>
        <v>Office of the State Controller</v>
      </c>
      <c r="B1" s="854"/>
      <c r="C1" s="854"/>
      <c r="D1" s="854"/>
      <c r="E1" s="854"/>
      <c r="F1" s="854"/>
      <c r="G1" s="854"/>
      <c r="H1" s="804" t="str">
        <f>IF(Index!$B$43="na","NA","")</f>
        <v/>
      </c>
    </row>
    <row r="2" spans="1:8" ht="16.5" customHeight="1" x14ac:dyDescent="0.25">
      <c r="A2" s="855" t="str">
        <f>+Index!$A$2</f>
        <v>2022 ACFR Worksheets for Nonmajor Component Units</v>
      </c>
      <c r="B2" s="855"/>
      <c r="C2" s="855"/>
      <c r="D2" s="855"/>
      <c r="E2" s="855"/>
      <c r="F2" s="855"/>
      <c r="G2" s="855"/>
      <c r="H2" s="804"/>
    </row>
    <row r="3" spans="1:8" ht="16.5" customHeight="1" x14ac:dyDescent="0.3">
      <c r="A3" s="844" t="s">
        <v>596</v>
      </c>
      <c r="B3" s="844"/>
      <c r="C3" s="844"/>
      <c r="D3" s="844"/>
      <c r="E3" s="844"/>
      <c r="F3" s="844"/>
      <c r="G3" s="844"/>
      <c r="H3" s="804"/>
    </row>
    <row r="4" spans="1:8" ht="16.5" customHeight="1" x14ac:dyDescent="0.25">
      <c r="F4" s="116"/>
      <c r="G4" s="116"/>
    </row>
    <row r="5" spans="1:8" ht="16.5" customHeight="1" x14ac:dyDescent="0.25">
      <c r="A5" s="166" t="s">
        <v>357</v>
      </c>
      <c r="B5" s="117"/>
      <c r="C5" s="856" t="str">
        <f>Index!D10</f>
        <v>0A</v>
      </c>
      <c r="D5" s="857"/>
      <c r="E5" s="167" t="s">
        <v>180</v>
      </c>
      <c r="F5" s="877">
        <f>+Index!D14</f>
        <v>0</v>
      </c>
      <c r="G5" s="877"/>
      <c r="H5" s="117"/>
    </row>
    <row r="6" spans="1:8" ht="16.5" customHeight="1" x14ac:dyDescent="0.25">
      <c r="A6" s="166" t="s">
        <v>358</v>
      </c>
      <c r="B6" s="117"/>
      <c r="C6" s="856" t="str">
        <f>Index!D11</f>
        <v>NC Housing Finance Agency</v>
      </c>
      <c r="D6" s="857"/>
      <c r="E6" s="167" t="s">
        <v>181</v>
      </c>
      <c r="F6" s="877">
        <f>+Index!D16</f>
        <v>0</v>
      </c>
      <c r="G6" s="877"/>
      <c r="H6" s="117"/>
    </row>
    <row r="7" spans="1:8" ht="16.5" customHeight="1" x14ac:dyDescent="0.25">
      <c r="A7" s="166" t="s">
        <v>20</v>
      </c>
      <c r="B7" s="117"/>
      <c r="C7" s="168">
        <f>+Index!D13</f>
        <v>2611</v>
      </c>
      <c r="D7" s="164"/>
      <c r="E7" s="167" t="s">
        <v>196</v>
      </c>
      <c r="F7" s="877">
        <f>+Index!D15</f>
        <v>0</v>
      </c>
      <c r="G7" s="877"/>
      <c r="H7" s="117"/>
    </row>
    <row r="8" spans="1:8" ht="14.1" customHeight="1" thickBot="1" x14ac:dyDescent="0.3">
      <c r="A8" s="336" t="s">
        <v>985</v>
      </c>
      <c r="B8" s="122"/>
      <c r="C8" s="268"/>
      <c r="D8" s="122"/>
      <c r="E8" s="122"/>
      <c r="F8" s="122"/>
      <c r="G8" s="170"/>
      <c r="H8" s="123"/>
    </row>
    <row r="9" spans="1:8" ht="15.9" customHeight="1" x14ac:dyDescent="0.25">
      <c r="B9" s="5"/>
      <c r="C9" s="5"/>
    </row>
    <row r="10" spans="1:8" ht="12.75" customHeight="1" x14ac:dyDescent="0.25">
      <c r="B10" s="858" t="s">
        <v>612</v>
      </c>
      <c r="C10" s="858"/>
      <c r="D10" s="858"/>
      <c r="E10" s="858"/>
      <c r="F10" s="190" t="str">
        <f>TEXT(Data!$A$2,"mmmm d,yyyy")</f>
        <v>June 30,2022</v>
      </c>
      <c r="G10" s="12"/>
      <c r="H10" s="12"/>
    </row>
    <row r="11" spans="1:8" ht="12.75" customHeight="1" x14ac:dyDescent="0.25">
      <c r="A11" s="12"/>
      <c r="B11" s="125" t="s">
        <v>238</v>
      </c>
      <c r="C11" s="15"/>
      <c r="D11" s="16"/>
      <c r="E11" s="16"/>
      <c r="F11" s="16"/>
      <c r="G11" s="16"/>
      <c r="H11" s="16"/>
    </row>
    <row r="12" spans="1:8" ht="12.75" customHeight="1" x14ac:dyDescent="0.25">
      <c r="A12" s="10">
        <v>100</v>
      </c>
      <c r="B12" s="848" t="s">
        <v>236</v>
      </c>
      <c r="C12" s="848"/>
      <c r="D12" s="848"/>
      <c r="E12" s="848"/>
      <c r="F12" s="314">
        <v>0</v>
      </c>
      <c r="G12" s="16"/>
      <c r="H12" s="16"/>
    </row>
    <row r="13" spans="1:8" ht="12.75" customHeight="1" x14ac:dyDescent="0.25">
      <c r="A13" s="10">
        <v>110</v>
      </c>
      <c r="B13" s="848" t="s">
        <v>237</v>
      </c>
      <c r="C13" s="848"/>
      <c r="D13" s="848"/>
      <c r="E13" s="848"/>
      <c r="F13" s="313">
        <v>0</v>
      </c>
      <c r="G13" s="16"/>
      <c r="H13" s="16"/>
    </row>
    <row r="14" spans="1:8" ht="12.75" customHeight="1" x14ac:dyDescent="0.25">
      <c r="A14" s="11" t="s">
        <v>271</v>
      </c>
      <c r="B14" s="848" t="s">
        <v>257</v>
      </c>
      <c r="C14" s="848"/>
      <c r="D14" s="848"/>
      <c r="E14" s="848"/>
      <c r="F14" s="313">
        <v>0</v>
      </c>
      <c r="G14" s="16"/>
      <c r="H14" s="16"/>
    </row>
    <row r="15" spans="1:8" ht="12.75" customHeight="1" x14ac:dyDescent="0.25">
      <c r="A15" s="10">
        <v>130</v>
      </c>
      <c r="B15" s="848" t="s">
        <v>258</v>
      </c>
      <c r="C15" s="848"/>
      <c r="D15" s="848"/>
      <c r="E15" s="848"/>
      <c r="F15" s="313">
        <v>0</v>
      </c>
      <c r="G15" s="16"/>
      <c r="H15" s="16"/>
    </row>
    <row r="16" spans="1:8" ht="12.75" customHeight="1" x14ac:dyDescent="0.25">
      <c r="A16" s="10">
        <v>140</v>
      </c>
      <c r="B16" s="848" t="s">
        <v>308</v>
      </c>
      <c r="C16" s="848"/>
      <c r="D16" s="848"/>
      <c r="E16" s="848"/>
      <c r="F16" s="313">
        <v>0</v>
      </c>
      <c r="G16" s="16"/>
      <c r="H16" s="16"/>
    </row>
    <row r="17" spans="1:9" ht="12.75" customHeight="1" x14ac:dyDescent="0.25">
      <c r="A17" s="10">
        <v>140</v>
      </c>
      <c r="B17" s="848" t="s">
        <v>362</v>
      </c>
      <c r="C17" s="848"/>
      <c r="D17" s="848"/>
      <c r="E17" s="848"/>
      <c r="F17" s="313">
        <v>0</v>
      </c>
      <c r="G17" s="16"/>
      <c r="H17" s="16"/>
    </row>
    <row r="18" spans="1:9" ht="12.75" customHeight="1" x14ac:dyDescent="0.25">
      <c r="A18" s="11" t="s">
        <v>271</v>
      </c>
      <c r="B18" s="848" t="s">
        <v>279</v>
      </c>
      <c r="C18" s="848"/>
      <c r="D18" s="848"/>
      <c r="E18" s="848"/>
      <c r="F18" s="313">
        <v>0</v>
      </c>
      <c r="G18" s="16"/>
      <c r="H18" s="16"/>
    </row>
    <row r="19" spans="1:9" ht="12.75" customHeight="1" x14ac:dyDescent="0.25">
      <c r="A19" s="10">
        <v>162</v>
      </c>
      <c r="B19" s="876" t="s">
        <v>1097</v>
      </c>
      <c r="C19" s="876"/>
      <c r="D19" s="876"/>
      <c r="E19" s="876"/>
      <c r="F19" s="313">
        <v>0</v>
      </c>
      <c r="G19" s="531"/>
      <c r="H19" s="531"/>
      <c r="I19" s="531"/>
    </row>
    <row r="20" spans="1:9" ht="12.75" customHeight="1" x14ac:dyDescent="0.25">
      <c r="A20" s="10">
        <v>160</v>
      </c>
      <c r="B20" s="848" t="s">
        <v>310</v>
      </c>
      <c r="C20" s="848"/>
      <c r="D20" s="848"/>
      <c r="E20" s="848"/>
      <c r="F20" s="313">
        <v>0</v>
      </c>
      <c r="G20" s="16"/>
      <c r="H20" s="16"/>
    </row>
    <row r="21" spans="1:9" ht="12.75" customHeight="1" x14ac:dyDescent="0.25">
      <c r="A21" s="10">
        <v>160</v>
      </c>
      <c r="B21" s="848" t="s">
        <v>341</v>
      </c>
      <c r="C21" s="848"/>
      <c r="D21" s="848"/>
      <c r="E21" s="848"/>
      <c r="F21" s="313">
        <v>0</v>
      </c>
      <c r="G21" s="16"/>
      <c r="H21" s="16"/>
    </row>
    <row r="22" spans="1:9" ht="12.75" customHeight="1" x14ac:dyDescent="0.25">
      <c r="A22" s="10">
        <v>162</v>
      </c>
      <c r="B22" s="848" t="s">
        <v>120</v>
      </c>
      <c r="C22" s="848"/>
      <c r="D22" s="848"/>
      <c r="E22" s="848"/>
      <c r="F22" s="313">
        <v>0</v>
      </c>
      <c r="G22" s="16"/>
      <c r="H22" s="16"/>
    </row>
    <row r="23" spans="1:9" ht="12.75" customHeight="1" x14ac:dyDescent="0.25">
      <c r="A23" s="11" t="s">
        <v>271</v>
      </c>
      <c r="B23" s="848" t="s">
        <v>197</v>
      </c>
      <c r="C23" s="848"/>
      <c r="D23" s="848"/>
      <c r="E23" s="848"/>
      <c r="F23" s="313">
        <v>0</v>
      </c>
      <c r="G23" s="500"/>
      <c r="H23" s="16"/>
    </row>
    <row r="24" spans="1:9" ht="14.85" customHeight="1" x14ac:dyDescent="0.25">
      <c r="A24" s="9"/>
      <c r="B24" s="850" t="s">
        <v>239</v>
      </c>
      <c r="C24" s="850"/>
      <c r="D24" s="850"/>
      <c r="E24" s="850"/>
      <c r="F24" s="316">
        <f>SUM(F12:F23)</f>
        <v>0</v>
      </c>
      <c r="G24" s="16"/>
      <c r="H24" s="16"/>
    </row>
    <row r="25" spans="1:9" ht="12.75" customHeight="1" x14ac:dyDescent="0.25">
      <c r="A25" s="9"/>
      <c r="B25" s="183"/>
      <c r="C25" s="183"/>
      <c r="D25" s="9"/>
      <c r="E25" s="9"/>
      <c r="F25" s="17"/>
      <c r="G25" s="16"/>
      <c r="H25" s="16"/>
    </row>
    <row r="26" spans="1:9" ht="12.75" customHeight="1" x14ac:dyDescent="0.25">
      <c r="A26" s="9"/>
      <c r="B26" s="197" t="s">
        <v>327</v>
      </c>
      <c r="C26" s="125"/>
      <c r="D26" s="9"/>
      <c r="E26" s="9"/>
      <c r="F26" s="16"/>
      <c r="G26" s="16"/>
      <c r="H26" s="16"/>
    </row>
    <row r="27" spans="1:9" ht="12.75" customHeight="1" x14ac:dyDescent="0.25">
      <c r="A27" s="11" t="s">
        <v>271</v>
      </c>
      <c r="B27" s="848" t="s">
        <v>241</v>
      </c>
      <c r="C27" s="848"/>
      <c r="D27" s="848"/>
      <c r="E27" s="848"/>
      <c r="F27" s="313">
        <v>0</v>
      </c>
      <c r="G27" s="16"/>
      <c r="H27" s="16"/>
    </row>
    <row r="28" spans="1:9" ht="12.75" customHeight="1" x14ac:dyDescent="0.25">
      <c r="A28" s="11" t="s">
        <v>271</v>
      </c>
      <c r="B28" s="848" t="s">
        <v>363</v>
      </c>
      <c r="C28" s="848"/>
      <c r="D28" s="848"/>
      <c r="E28" s="848"/>
      <c r="F28" s="313">
        <v>0</v>
      </c>
      <c r="G28" s="16"/>
      <c r="H28" s="16"/>
    </row>
    <row r="29" spans="1:9" ht="12.75" customHeight="1" x14ac:dyDescent="0.25">
      <c r="A29" s="11">
        <v>204</v>
      </c>
      <c r="B29" s="848" t="s">
        <v>921</v>
      </c>
      <c r="C29" s="848"/>
      <c r="D29" s="848"/>
      <c r="E29" s="848"/>
      <c r="F29" s="313">
        <v>0</v>
      </c>
      <c r="G29" s="16"/>
      <c r="H29" s="16"/>
    </row>
    <row r="30" spans="1:9" ht="12.75" customHeight="1" x14ac:dyDescent="0.25">
      <c r="A30" s="10">
        <v>210</v>
      </c>
      <c r="B30" s="848" t="s">
        <v>242</v>
      </c>
      <c r="C30" s="848"/>
      <c r="D30" s="848"/>
      <c r="E30" s="848"/>
      <c r="F30" s="313">
        <v>0</v>
      </c>
    </row>
    <row r="31" spans="1:9" ht="12.75" customHeight="1" x14ac:dyDescent="0.25">
      <c r="A31" s="10">
        <v>220</v>
      </c>
      <c r="B31" s="848" t="s">
        <v>296</v>
      </c>
      <c r="C31" s="848"/>
      <c r="D31" s="848"/>
      <c r="E31" s="848"/>
      <c r="F31" s="313">
        <v>0</v>
      </c>
      <c r="G31" s="16"/>
      <c r="H31" s="16"/>
    </row>
    <row r="32" spans="1:9" ht="12.75" customHeight="1" x14ac:dyDescent="0.25">
      <c r="A32" s="10">
        <v>230</v>
      </c>
      <c r="B32" s="848" t="s">
        <v>315</v>
      </c>
      <c r="C32" s="848"/>
      <c r="D32" s="848"/>
      <c r="E32" s="848"/>
      <c r="F32" s="313">
        <v>0</v>
      </c>
      <c r="G32" s="16"/>
      <c r="H32" s="16"/>
    </row>
    <row r="33" spans="1:8" ht="12.75" customHeight="1" x14ac:dyDescent="0.25">
      <c r="A33" s="11" t="s">
        <v>271</v>
      </c>
      <c r="B33" s="862" t="s">
        <v>1411</v>
      </c>
      <c r="C33" s="862"/>
      <c r="D33" s="862"/>
      <c r="E33" s="862"/>
      <c r="F33" s="313">
        <v>0</v>
      </c>
      <c r="G33" s="500" t="s">
        <v>1410</v>
      </c>
      <c r="H33" s="16"/>
    </row>
    <row r="34" spans="1:8" ht="12.75" customHeight="1" x14ac:dyDescent="0.25">
      <c r="A34" s="11" t="s">
        <v>271</v>
      </c>
      <c r="B34" s="851" t="s">
        <v>244</v>
      </c>
      <c r="C34" s="851"/>
      <c r="D34" s="851"/>
      <c r="E34" s="851"/>
      <c r="F34" s="313">
        <v>0</v>
      </c>
      <c r="G34" s="16"/>
      <c r="H34" s="16"/>
    </row>
    <row r="35" spans="1:8" ht="12.75" customHeight="1" x14ac:dyDescent="0.25">
      <c r="A35" s="10">
        <v>241</v>
      </c>
      <c r="B35" s="848" t="s">
        <v>309</v>
      </c>
      <c r="C35" s="848"/>
      <c r="D35" s="848"/>
      <c r="E35" s="848"/>
      <c r="F35" s="313">
        <v>0</v>
      </c>
      <c r="G35" s="16"/>
      <c r="H35" s="16"/>
    </row>
    <row r="36" spans="1:8" ht="12.75" customHeight="1" x14ac:dyDescent="0.25">
      <c r="A36" s="11">
        <v>204</v>
      </c>
      <c r="B36" s="848" t="s">
        <v>311</v>
      </c>
      <c r="C36" s="848"/>
      <c r="D36" s="848"/>
      <c r="E36" s="848"/>
      <c r="F36" s="313">
        <v>0</v>
      </c>
      <c r="G36" s="16"/>
      <c r="H36" s="16"/>
    </row>
    <row r="37" spans="1:8" ht="14.85" customHeight="1" x14ac:dyDescent="0.25">
      <c r="A37" s="16"/>
      <c r="B37" s="850" t="s">
        <v>247</v>
      </c>
      <c r="C37" s="850"/>
      <c r="D37" s="850"/>
      <c r="E37" s="850"/>
      <c r="F37" s="316">
        <f>SUM(F27:F36)</f>
        <v>0</v>
      </c>
      <c r="G37" s="16"/>
      <c r="H37" s="16"/>
    </row>
    <row r="38" spans="1:8" ht="12.75" customHeight="1" x14ac:dyDescent="0.25">
      <c r="A38" s="16"/>
      <c r="B38" s="183"/>
      <c r="C38" s="183"/>
      <c r="D38" s="9"/>
      <c r="E38" s="9"/>
      <c r="F38" s="17"/>
      <c r="G38" s="16"/>
      <c r="H38" s="16"/>
    </row>
    <row r="39" spans="1:8" ht="12.75" customHeight="1" x14ac:dyDescent="0.25">
      <c r="A39" s="16"/>
      <c r="B39" s="197" t="s">
        <v>245</v>
      </c>
      <c r="C39" s="125"/>
      <c r="D39" s="9"/>
      <c r="E39" s="9"/>
      <c r="F39" s="16"/>
      <c r="G39" s="16"/>
      <c r="H39" s="16"/>
    </row>
    <row r="40" spans="1:8" ht="12.75" customHeight="1" x14ac:dyDescent="0.25">
      <c r="A40" s="16"/>
      <c r="B40" s="851" t="s">
        <v>1195</v>
      </c>
      <c r="C40" s="851"/>
      <c r="D40" s="851"/>
      <c r="E40" s="851"/>
      <c r="F40" s="313">
        <v>0</v>
      </c>
      <c r="G40" s="16"/>
      <c r="H40" s="639"/>
    </row>
    <row r="41" spans="1:8" ht="12.75" customHeight="1" x14ac:dyDescent="0.25">
      <c r="A41" s="16"/>
      <c r="B41" s="851" t="s">
        <v>1194</v>
      </c>
      <c r="C41" s="851"/>
      <c r="D41" s="851"/>
      <c r="E41" s="851"/>
      <c r="F41" s="313">
        <v>0</v>
      </c>
      <c r="G41" s="16"/>
      <c r="H41" s="639"/>
    </row>
    <row r="42" spans="1:8" ht="12.75" customHeight="1" x14ac:dyDescent="0.25">
      <c r="A42" s="16"/>
      <c r="B42" s="848" t="s">
        <v>312</v>
      </c>
      <c r="C42" s="848"/>
      <c r="D42" s="848"/>
      <c r="E42" s="848"/>
      <c r="F42" s="313">
        <v>0</v>
      </c>
      <c r="G42" s="16"/>
      <c r="H42" s="16"/>
    </row>
    <row r="43" spans="1:8" ht="12.75" customHeight="1" x14ac:dyDescent="0.25">
      <c r="A43" s="16"/>
      <c r="B43" s="848" t="s">
        <v>313</v>
      </c>
      <c r="C43" s="848"/>
      <c r="D43" s="848"/>
      <c r="E43" s="848"/>
      <c r="F43" s="313">
        <v>0</v>
      </c>
      <c r="G43" s="16"/>
      <c r="H43" s="16"/>
    </row>
    <row r="44" spans="1:8" ht="12.75" customHeight="1" x14ac:dyDescent="0.25">
      <c r="A44" s="16"/>
      <c r="B44" s="848" t="s">
        <v>314</v>
      </c>
      <c r="C44" s="848"/>
      <c r="D44" s="848"/>
      <c r="E44" s="848"/>
      <c r="F44" s="313">
        <v>0</v>
      </c>
      <c r="G44" s="16"/>
      <c r="H44" s="16"/>
    </row>
    <row r="45" spans="1:8" ht="12.75" customHeight="1" x14ac:dyDescent="0.25">
      <c r="A45" s="16"/>
      <c r="B45" s="848" t="s">
        <v>920</v>
      </c>
      <c r="C45" s="848"/>
      <c r="D45" s="848"/>
      <c r="E45" s="848"/>
      <c r="F45" s="313">
        <v>0</v>
      </c>
      <c r="G45" s="16"/>
      <c r="H45" s="16"/>
    </row>
    <row r="46" spans="1:8" ht="14.85" customHeight="1" thickBot="1" x14ac:dyDescent="0.3">
      <c r="A46" s="16"/>
      <c r="B46" s="850" t="s">
        <v>248</v>
      </c>
      <c r="C46" s="850"/>
      <c r="D46" s="850"/>
      <c r="E46" s="850"/>
      <c r="F46" s="318">
        <f>SUM(F40:F45)</f>
        <v>0</v>
      </c>
      <c r="G46" s="16"/>
      <c r="H46" s="16"/>
    </row>
    <row r="47" spans="1:8" ht="12.75" customHeight="1" thickTop="1" x14ac:dyDescent="0.25">
      <c r="A47" s="16"/>
      <c r="B47" s="9"/>
      <c r="C47" s="9"/>
      <c r="D47" s="9"/>
      <c r="E47" s="9"/>
      <c r="F47" s="16"/>
      <c r="G47" s="16"/>
      <c r="H47" s="16"/>
    </row>
    <row r="48" spans="1:8" ht="12.75" customHeight="1" x14ac:dyDescent="0.25">
      <c r="A48" s="16"/>
      <c r="B48" s="184" t="s">
        <v>282</v>
      </c>
      <c r="C48" s="184"/>
      <c r="D48" s="9"/>
      <c r="E48" s="9"/>
      <c r="F48" s="18" t="str">
        <f>IF(ROUND(F24-F37,2)=F46,"OK","ERROR")</f>
        <v>OK</v>
      </c>
      <c r="G48" s="13"/>
      <c r="H48" s="13"/>
    </row>
    <row r="49" spans="1:8" ht="12.75" customHeight="1" x14ac:dyDescent="0.25">
      <c r="A49" s="16"/>
      <c r="B49" s="184"/>
      <c r="C49" s="184"/>
      <c r="D49" s="9"/>
      <c r="E49" s="9"/>
      <c r="F49" s="18"/>
      <c r="G49" s="13"/>
      <c r="H49" s="13"/>
    </row>
    <row r="50" spans="1:8" ht="12.75" customHeight="1" x14ac:dyDescent="0.25">
      <c r="A50" s="16"/>
      <c r="B50" s="184"/>
      <c r="C50" s="184"/>
      <c r="D50" s="9"/>
      <c r="E50" s="9"/>
      <c r="F50" s="18"/>
      <c r="G50" s="13"/>
      <c r="H50" s="13"/>
    </row>
    <row r="51" spans="1:8" ht="12.75" customHeight="1" x14ac:dyDescent="0.25">
      <c r="A51" s="185" t="s">
        <v>256</v>
      </c>
      <c r="B51" s="9"/>
      <c r="C51" s="9"/>
      <c r="D51" s="9"/>
      <c r="E51" s="9"/>
      <c r="F51" s="18"/>
      <c r="G51" s="13"/>
      <c r="H51" s="13"/>
    </row>
    <row r="52" spans="1:8" ht="12.75" customHeight="1" x14ac:dyDescent="0.25">
      <c r="A52" s="271" t="s">
        <v>611</v>
      </c>
      <c r="B52" s="143" t="s">
        <v>610</v>
      </c>
      <c r="C52" s="9"/>
      <c r="D52" s="9"/>
      <c r="E52" s="9"/>
      <c r="F52" s="18"/>
      <c r="G52" s="13"/>
      <c r="H52" s="13"/>
    </row>
    <row r="53" spans="1:8" ht="12.75" customHeight="1" x14ac:dyDescent="0.25">
      <c r="A53" s="11" t="s">
        <v>271</v>
      </c>
      <c r="B53" s="143" t="s">
        <v>274</v>
      </c>
      <c r="C53" s="9"/>
      <c r="D53" s="9"/>
      <c r="E53" s="13"/>
      <c r="F53" s="18"/>
      <c r="G53" s="13"/>
      <c r="H53" s="13"/>
    </row>
    <row r="54" spans="1:8" ht="12.75" customHeight="1" x14ac:dyDescent="0.25">
      <c r="A54" s="9"/>
      <c r="B54" s="184"/>
      <c r="C54" s="184"/>
      <c r="D54" s="9"/>
      <c r="E54" s="9"/>
      <c r="F54" s="17"/>
      <c r="G54" s="13"/>
      <c r="H54" s="13"/>
    </row>
    <row r="55" spans="1:8" ht="12.75" customHeight="1" x14ac:dyDescent="0.25">
      <c r="B55" s="858" t="s">
        <v>616</v>
      </c>
      <c r="C55" s="875"/>
      <c r="D55" s="875"/>
      <c r="E55" s="875"/>
      <c r="F55" s="190" t="str">
        <f>CONCATENATE("FYE ",+TEXT(Data!$A$2,"mmmm d,yyyy"))</f>
        <v>FYE June 30,2022</v>
      </c>
      <c r="G55" s="13"/>
      <c r="H55" s="13"/>
    </row>
    <row r="56" spans="1:8" ht="12.75" customHeight="1" x14ac:dyDescent="0.25">
      <c r="A56" s="9"/>
      <c r="B56" s="197" t="s">
        <v>249</v>
      </c>
      <c r="C56" s="125"/>
      <c r="D56" s="9"/>
      <c r="E56" s="9"/>
      <c r="G56" s="13"/>
      <c r="H56" s="13"/>
    </row>
    <row r="57" spans="1:8" ht="12.75" customHeight="1" x14ac:dyDescent="0.25">
      <c r="A57" s="10">
        <v>500</v>
      </c>
      <c r="B57" s="848" t="s">
        <v>319</v>
      </c>
      <c r="C57" s="848"/>
      <c r="D57" s="848"/>
      <c r="E57" s="848"/>
      <c r="F57" s="314">
        <v>0</v>
      </c>
      <c r="G57" s="13"/>
      <c r="H57" s="13"/>
    </row>
    <row r="58" spans="1:8" ht="12.75" customHeight="1" x14ac:dyDescent="0.25">
      <c r="A58" s="10">
        <v>500</v>
      </c>
      <c r="B58" s="848" t="s">
        <v>320</v>
      </c>
      <c r="C58" s="848"/>
      <c r="D58" s="848"/>
      <c r="E58" s="848"/>
      <c r="F58" s="313">
        <v>0</v>
      </c>
      <c r="G58" s="13"/>
      <c r="H58" s="13"/>
    </row>
    <row r="59" spans="1:8" ht="12.75" customHeight="1" x14ac:dyDescent="0.25">
      <c r="A59" s="10">
        <v>500</v>
      </c>
      <c r="B59" s="848" t="s">
        <v>318</v>
      </c>
      <c r="C59" s="848"/>
      <c r="D59" s="848"/>
      <c r="E59" s="848"/>
      <c r="F59" s="313">
        <v>0</v>
      </c>
      <c r="G59" s="13"/>
      <c r="H59" s="13"/>
    </row>
    <row r="60" spans="1:8" ht="12.75" customHeight="1" x14ac:dyDescent="0.25">
      <c r="A60" s="11" t="s">
        <v>271</v>
      </c>
      <c r="B60" s="848" t="s">
        <v>321</v>
      </c>
      <c r="C60" s="848"/>
      <c r="D60" s="848"/>
      <c r="E60" s="848"/>
      <c r="F60" s="313">
        <v>0</v>
      </c>
      <c r="G60" s="13"/>
      <c r="H60" s="13"/>
    </row>
    <row r="61" spans="1:8" ht="12.75" customHeight="1" x14ac:dyDescent="0.25">
      <c r="A61" s="530" t="s">
        <v>271</v>
      </c>
      <c r="B61" s="848" t="s">
        <v>250</v>
      </c>
      <c r="C61" s="848"/>
      <c r="D61" s="848"/>
      <c r="E61" s="848"/>
      <c r="F61" s="313">
        <v>0</v>
      </c>
      <c r="G61" s="13"/>
      <c r="H61" s="13"/>
    </row>
    <row r="62" spans="1:8" ht="12.75" customHeight="1" x14ac:dyDescent="0.25">
      <c r="A62" s="509" t="s">
        <v>271</v>
      </c>
      <c r="B62" s="874" t="s">
        <v>280</v>
      </c>
      <c r="C62" s="874"/>
      <c r="D62" s="874"/>
      <c r="E62" s="874"/>
      <c r="F62" s="313">
        <v>0</v>
      </c>
      <c r="G62" s="531"/>
      <c r="H62" s="531"/>
    </row>
    <row r="63" spans="1:8" ht="12.75" customHeight="1" x14ac:dyDescent="0.25">
      <c r="A63" s="10">
        <v>520</v>
      </c>
      <c r="B63" s="848" t="s">
        <v>277</v>
      </c>
      <c r="C63" s="848"/>
      <c r="D63" s="848"/>
      <c r="E63" s="848"/>
      <c r="F63" s="313">
        <v>0</v>
      </c>
      <c r="G63" s="13"/>
      <c r="H63" s="13"/>
    </row>
    <row r="64" spans="1:8" ht="12.75" customHeight="1" x14ac:dyDescent="0.25">
      <c r="A64" s="10">
        <v>520</v>
      </c>
      <c r="B64" s="848" t="s">
        <v>317</v>
      </c>
      <c r="C64" s="848"/>
      <c r="D64" s="848"/>
      <c r="E64" s="848"/>
      <c r="F64" s="313">
        <v>0</v>
      </c>
      <c r="G64" s="13"/>
      <c r="H64" s="13"/>
    </row>
    <row r="65" spans="1:8" ht="12.75" customHeight="1" x14ac:dyDescent="0.25">
      <c r="A65" s="10">
        <v>520</v>
      </c>
      <c r="B65" s="848" t="s">
        <v>316</v>
      </c>
      <c r="C65" s="848"/>
      <c r="D65" s="848"/>
      <c r="E65" s="848"/>
      <c r="F65" s="313">
        <v>0</v>
      </c>
      <c r="G65" s="13"/>
      <c r="H65" s="13"/>
    </row>
    <row r="66" spans="1:8" ht="12.75" customHeight="1" x14ac:dyDescent="0.25">
      <c r="A66" s="10"/>
      <c r="B66" s="849" t="s">
        <v>251</v>
      </c>
      <c r="C66" s="849"/>
      <c r="D66" s="849"/>
      <c r="E66" s="849"/>
      <c r="F66" s="317">
        <f>SUM(F57:F65)</f>
        <v>0</v>
      </c>
      <c r="G66" s="13"/>
      <c r="H66" s="13"/>
    </row>
    <row r="67" spans="1:8" ht="12.75" customHeight="1" x14ac:dyDescent="0.25">
      <c r="A67" s="10"/>
      <c r="B67" s="9"/>
      <c r="C67" s="9"/>
      <c r="D67" s="9"/>
      <c r="E67" s="9"/>
      <c r="G67" s="13"/>
      <c r="H67" s="13"/>
    </row>
    <row r="68" spans="1:8" ht="12.75" customHeight="1" x14ac:dyDescent="0.25">
      <c r="A68" s="10"/>
      <c r="B68" s="197" t="s">
        <v>252</v>
      </c>
      <c r="C68" s="125"/>
      <c r="D68" s="9"/>
      <c r="E68" s="9"/>
      <c r="G68" s="13"/>
      <c r="H68" s="13"/>
    </row>
    <row r="69" spans="1:8" ht="12.75" customHeight="1" x14ac:dyDescent="0.25">
      <c r="A69" s="10">
        <v>600</v>
      </c>
      <c r="B69" s="848" t="s">
        <v>253</v>
      </c>
      <c r="C69" s="848"/>
      <c r="D69" s="848"/>
      <c r="E69" s="848"/>
      <c r="F69" s="313">
        <v>0</v>
      </c>
      <c r="G69" s="13"/>
      <c r="H69" s="13"/>
    </row>
    <row r="70" spans="1:8" ht="12.75" customHeight="1" x14ac:dyDescent="0.25">
      <c r="A70" s="9"/>
      <c r="B70" s="9"/>
      <c r="C70" s="9"/>
      <c r="D70" s="9"/>
      <c r="E70" s="9"/>
      <c r="G70" s="13"/>
      <c r="H70" s="13"/>
    </row>
    <row r="71" spans="1:8" ht="12.75" customHeight="1" x14ac:dyDescent="0.25">
      <c r="A71" s="9"/>
      <c r="B71" s="848" t="s">
        <v>254</v>
      </c>
      <c r="C71" s="848"/>
      <c r="D71" s="848"/>
      <c r="E71" s="848"/>
      <c r="F71" s="319">
        <f>F66-F69</f>
        <v>0</v>
      </c>
      <c r="G71" s="13"/>
      <c r="H71" s="13"/>
    </row>
    <row r="72" spans="1:8" ht="12.75" customHeight="1" x14ac:dyDescent="0.25">
      <c r="A72" s="9"/>
      <c r="B72" s="9"/>
      <c r="C72" s="9"/>
      <c r="D72" s="9"/>
      <c r="E72" s="9"/>
      <c r="F72" s="3"/>
      <c r="G72" s="13"/>
      <c r="H72" s="13"/>
    </row>
    <row r="73" spans="1:8" ht="12.75" customHeight="1" x14ac:dyDescent="0.25">
      <c r="A73" s="9">
        <v>800</v>
      </c>
      <c r="B73" s="848" t="s">
        <v>199</v>
      </c>
      <c r="C73" s="848"/>
      <c r="D73" s="848"/>
      <c r="E73" s="848"/>
      <c r="F73" s="320">
        <f>IF(ISNA(MATCH(Index!$D$10,NMcompnum,0)),0,IF(INDEX(NMcomptable,MATCH(Index!$D$10,NMcompnum,0),5)="GASB",0,INDEX(NMcomptable,MATCH(Index!$D$10,NMcompnum,0),7)))</f>
        <v>0</v>
      </c>
      <c r="G73" s="1"/>
      <c r="H73" s="13"/>
    </row>
    <row r="74" spans="1:8" ht="12.75" customHeight="1" x14ac:dyDescent="0.25">
      <c r="A74" s="9">
        <v>801</v>
      </c>
      <c r="B74" s="848" t="s">
        <v>288</v>
      </c>
      <c r="C74" s="848"/>
      <c r="D74" s="848"/>
      <c r="E74" s="848"/>
      <c r="F74" s="313">
        <v>0</v>
      </c>
      <c r="G74" s="353" t="str">
        <f>IF(F74&lt;&gt;'430'!D33,"Problem: Restatement must tie to worksheet 430 total"," ")</f>
        <v xml:space="preserve"> </v>
      </c>
      <c r="H74" s="13"/>
    </row>
    <row r="75" spans="1:8" ht="12.75" customHeight="1" x14ac:dyDescent="0.25">
      <c r="A75" s="9"/>
      <c r="B75" s="186" t="s">
        <v>345</v>
      </c>
      <c r="C75" s="186"/>
      <c r="D75" s="9"/>
      <c r="E75" s="9"/>
      <c r="F75" s="3"/>
      <c r="G75" s="13"/>
      <c r="H75" s="13"/>
    </row>
    <row r="76" spans="1:8" ht="12.75" customHeight="1" x14ac:dyDescent="0.25">
      <c r="A76" s="10">
        <v>600</v>
      </c>
      <c r="B76" s="849" t="s">
        <v>356</v>
      </c>
      <c r="C76" s="849"/>
      <c r="D76" s="849"/>
      <c r="E76" s="849"/>
      <c r="F76" s="313">
        <v>0</v>
      </c>
      <c r="G76" s="13"/>
      <c r="H76" s="13"/>
    </row>
    <row r="77" spans="1:8" ht="12.75" customHeight="1" x14ac:dyDescent="0.25">
      <c r="A77" s="10">
        <v>511</v>
      </c>
      <c r="B77" s="849" t="s">
        <v>344</v>
      </c>
      <c r="C77" s="849"/>
      <c r="D77" s="849"/>
      <c r="E77" s="849"/>
      <c r="F77" s="315">
        <v>0</v>
      </c>
      <c r="G77" s="13"/>
      <c r="H77" s="13"/>
    </row>
    <row r="78" spans="1:8" ht="12.75" customHeight="1" thickBot="1" x14ac:dyDescent="0.3">
      <c r="A78" s="9"/>
      <c r="B78" s="849" t="s">
        <v>255</v>
      </c>
      <c r="C78" s="849"/>
      <c r="D78" s="849"/>
      <c r="E78" s="849"/>
      <c r="F78" s="318">
        <f>F71+F73+F74-F76+F77</f>
        <v>0</v>
      </c>
      <c r="G78" s="13"/>
      <c r="H78" s="13"/>
    </row>
    <row r="79" spans="1:8" ht="12.75" customHeight="1" thickTop="1" x14ac:dyDescent="0.25">
      <c r="A79" s="9"/>
      <c r="B79" s="9"/>
      <c r="C79" s="9"/>
      <c r="D79" s="9"/>
      <c r="E79" s="9"/>
      <c r="G79" s="13"/>
      <c r="H79" s="13"/>
    </row>
    <row r="80" spans="1:8" ht="12.75" customHeight="1" x14ac:dyDescent="0.25">
      <c r="A80" s="9"/>
      <c r="B80" s="184" t="s">
        <v>722</v>
      </c>
      <c r="C80" s="184"/>
      <c r="D80" s="9"/>
      <c r="E80" s="9"/>
      <c r="F80" s="7" t="str">
        <f>IF(ROUND(F78,2)=F46,"OK","ERROR")</f>
        <v>OK</v>
      </c>
      <c r="G80" s="13"/>
      <c r="H80" s="13"/>
    </row>
    <row r="81" spans="1:8" ht="12.75" customHeight="1" x14ac:dyDescent="0.25">
      <c r="A81" s="9"/>
      <c r="B81" s="184"/>
      <c r="C81" s="184"/>
      <c r="D81" s="9"/>
      <c r="E81" s="9"/>
      <c r="F81" s="7"/>
      <c r="G81" s="13"/>
      <c r="H81" s="13"/>
    </row>
    <row r="82" spans="1:8" ht="12.75" customHeight="1" x14ac:dyDescent="0.25">
      <c r="A82" s="185" t="s">
        <v>256</v>
      </c>
      <c r="B82" s="9"/>
      <c r="C82" s="9"/>
      <c r="D82" s="9"/>
      <c r="E82" s="9"/>
      <c r="F82" s="17"/>
      <c r="G82" s="14"/>
      <c r="H82" s="14"/>
    </row>
    <row r="83" spans="1:8" ht="11.1" customHeight="1" x14ac:dyDescent="0.25">
      <c r="A83" s="271" t="s">
        <v>611</v>
      </c>
      <c r="B83" s="143" t="s">
        <v>613</v>
      </c>
      <c r="C83" s="9"/>
      <c r="D83" s="9"/>
      <c r="E83" s="9"/>
      <c r="F83" s="17"/>
      <c r="G83" s="14"/>
      <c r="H83" s="14"/>
    </row>
    <row r="84" spans="1:8" ht="11.1" customHeight="1" x14ac:dyDescent="0.25">
      <c r="A84" s="9"/>
      <c r="B84" s="143" t="s">
        <v>614</v>
      </c>
      <c r="C84" s="9"/>
      <c r="D84" s="9"/>
      <c r="E84" s="9"/>
      <c r="F84" s="17"/>
      <c r="G84" s="14"/>
      <c r="H84" s="14"/>
    </row>
    <row r="85" spans="1:8" ht="11.1" customHeight="1" x14ac:dyDescent="0.25">
      <c r="A85" s="9"/>
      <c r="B85" s="143" t="s">
        <v>615</v>
      </c>
      <c r="C85" s="9"/>
      <c r="D85" s="9"/>
      <c r="E85" s="9"/>
      <c r="F85" s="17"/>
      <c r="G85" s="14"/>
      <c r="H85" s="14"/>
    </row>
    <row r="86" spans="1:8" ht="12.75" customHeight="1" x14ac:dyDescent="0.25">
      <c r="A86" s="11" t="s">
        <v>271</v>
      </c>
      <c r="B86" s="143" t="s">
        <v>274</v>
      </c>
      <c r="C86" s="9"/>
      <c r="D86" s="9"/>
      <c r="E86" s="9"/>
      <c r="F86" s="17"/>
      <c r="G86" s="14"/>
      <c r="H86" s="14"/>
    </row>
    <row r="87" spans="1:8" ht="8.1" customHeight="1" x14ac:dyDescent="0.25"/>
  </sheetData>
  <sheetProtection algorithmName="SHA-512" hashValue="Bz9UV61CIEWP/d9t3Hi8KIasRYqgAqpTNrCearoFQ+sMtiP0Qwi2AaIqpi7Ab4V6jMQw/vaMuzCVOHN3pXtNgQ==" saltValue="hPOlQzFSz4/eam6WV7uThA==" spinCount="100000" sheet="1" objects="1" scenarios="1" autoFilter="0"/>
  <mergeCells count="58">
    <mergeCell ref="A1:G1"/>
    <mergeCell ref="A2:G2"/>
    <mergeCell ref="B10:E10"/>
    <mergeCell ref="B12:E12"/>
    <mergeCell ref="F5:G5"/>
    <mergeCell ref="A3:G3"/>
    <mergeCell ref="C5:D5"/>
    <mergeCell ref="C6:D6"/>
    <mergeCell ref="F6:G6"/>
    <mergeCell ref="B17:E17"/>
    <mergeCell ref="F7:G7"/>
    <mergeCell ref="B16:E16"/>
    <mergeCell ref="B13:E13"/>
    <mergeCell ref="B14:E14"/>
    <mergeCell ref="B15:E15"/>
    <mergeCell ref="B29:E29"/>
    <mergeCell ref="B18:E18"/>
    <mergeCell ref="B19:E19"/>
    <mergeCell ref="B34:E34"/>
    <mergeCell ref="B23:E23"/>
    <mergeCell ref="B27:E27"/>
    <mergeCell ref="B28:E28"/>
    <mergeCell ref="B30:E30"/>
    <mergeCell ref="B24:E24"/>
    <mergeCell ref="B31:E31"/>
    <mergeCell ref="B32:E32"/>
    <mergeCell ref="B33:E33"/>
    <mergeCell ref="B22:E22"/>
    <mergeCell ref="B20:E20"/>
    <mergeCell ref="B21:E21"/>
    <mergeCell ref="B59:E59"/>
    <mergeCell ref="B60:E60"/>
    <mergeCell ref="B61:E61"/>
    <mergeCell ref="B57:E57"/>
    <mergeCell ref="B35:E35"/>
    <mergeCell ref="B36:E36"/>
    <mergeCell ref="B40:E40"/>
    <mergeCell ref="B41:E41"/>
    <mergeCell ref="B37:E37"/>
    <mergeCell ref="B55:E55"/>
    <mergeCell ref="B45:E45"/>
    <mergeCell ref="B42:E42"/>
    <mergeCell ref="B62:E62"/>
    <mergeCell ref="B43:E43"/>
    <mergeCell ref="B44:E44"/>
    <mergeCell ref="B78:E78"/>
    <mergeCell ref="B66:E66"/>
    <mergeCell ref="B46:E46"/>
    <mergeCell ref="B73:E73"/>
    <mergeCell ref="B74:E74"/>
    <mergeCell ref="B76:E76"/>
    <mergeCell ref="B77:E77"/>
    <mergeCell ref="B63:E63"/>
    <mergeCell ref="B64:E64"/>
    <mergeCell ref="B71:E71"/>
    <mergeCell ref="B58:E58"/>
    <mergeCell ref="B65:E65"/>
    <mergeCell ref="B69:E69"/>
  </mergeCells>
  <phoneticPr fontId="0" type="noConversion"/>
  <conditionalFormatting sqref="F48:F53 F80:F81">
    <cfRule type="cellIs" dxfId="46" priority="1" stopIfTrue="1" operator="equal">
      <formula>"ERROR"</formula>
    </cfRule>
  </conditionalFormatting>
  <conditionalFormatting sqref="H1:H3">
    <cfRule type="cellIs" dxfId="45" priority="2" stopIfTrue="1" operator="equal">
      <formula>"na"</formula>
    </cfRule>
  </conditionalFormatting>
  <dataValidations disablePrompts="1" count="1">
    <dataValidation type="textLength" operator="equal" allowBlank="1" showInputMessage="1" showErrorMessage="1" errorTitle="Invalid data!" error="GASB number must be 4 digits." sqref="D7" xr:uid="{00000000-0002-0000-0300-000000000000}">
      <formula1>4</formula1>
    </dataValidation>
  </dataValidations>
  <hyperlinks>
    <hyperlink ref="A1:G1" location="Index!A1" display="Index!A1" xr:uid="{00000000-0004-0000-0300-000000000000}"/>
  </hyperlinks>
  <pageMargins left="0.95" right="0.45" top="0.5" bottom="0.5" header="0.3" footer="0.3"/>
  <pageSetup orientation="portrait" r:id="rId1"/>
  <headerFooter>
    <oddFooter>&amp;R&amp;A</oddFooter>
  </headerFooter>
  <rowBreaks count="1" manualBreakCount="1">
    <brk id="54"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M166"/>
  <sheetViews>
    <sheetView showGridLines="0" zoomScaleNormal="100" workbookViewId="0">
      <selection sqref="A1:XFD1"/>
    </sheetView>
  </sheetViews>
  <sheetFormatPr defaultRowHeight="13.2" x14ac:dyDescent="0.25"/>
  <cols>
    <col min="1" max="1" width="3.5546875" customWidth="1"/>
    <col min="2" max="2" width="8.5546875" customWidth="1"/>
    <col min="3" max="3" width="5.5546875" customWidth="1"/>
    <col min="4" max="4" width="28.5546875" customWidth="1"/>
    <col min="5" max="7" width="15.5546875" customWidth="1"/>
    <col min="8" max="8" width="4.5546875" customWidth="1"/>
  </cols>
  <sheetData>
    <row r="1" spans="1:8" ht="25.2" customHeight="1" x14ac:dyDescent="0.3">
      <c r="A1" s="854" t="str">
        <f>+Index!$A$1</f>
        <v>Office of the State Controller</v>
      </c>
      <c r="B1" s="854"/>
      <c r="C1" s="854"/>
      <c r="D1" s="854"/>
      <c r="E1" s="854"/>
      <c r="F1" s="854"/>
      <c r="G1" s="854"/>
      <c r="H1" s="808" t="str">
        <f>IF(Index!$B$44="na","NA","")</f>
        <v/>
      </c>
    </row>
    <row r="2" spans="1:8" ht="16.5" customHeight="1" x14ac:dyDescent="0.25">
      <c r="A2" s="884" t="str">
        <f>+Index!$A$2</f>
        <v>2022 ACFR Worksheets for Nonmajor Component Units</v>
      </c>
      <c r="B2" s="884"/>
      <c r="C2" s="884"/>
      <c r="D2" s="884"/>
      <c r="E2" s="884"/>
      <c r="F2" s="884"/>
      <c r="G2" s="884"/>
      <c r="H2" s="808"/>
    </row>
    <row r="3" spans="1:8" ht="16.5" customHeight="1" x14ac:dyDescent="0.3">
      <c r="A3" s="844" t="s">
        <v>607</v>
      </c>
      <c r="B3" s="844"/>
      <c r="C3" s="844"/>
      <c r="D3" s="844"/>
      <c r="E3" s="844"/>
      <c r="F3" s="844"/>
      <c r="G3" s="844"/>
      <c r="H3" s="808"/>
    </row>
    <row r="4" spans="1:8" ht="16.5" customHeight="1" x14ac:dyDescent="0.25">
      <c r="F4" s="116"/>
      <c r="G4" s="116"/>
    </row>
    <row r="5" spans="1:8" ht="16.5" customHeight="1" x14ac:dyDescent="0.25">
      <c r="A5" s="166" t="s">
        <v>357</v>
      </c>
      <c r="B5" s="117"/>
      <c r="C5" s="856" t="str">
        <f>Index!D10</f>
        <v>0A</v>
      </c>
      <c r="D5" s="857"/>
      <c r="E5" s="167" t="s">
        <v>180</v>
      </c>
      <c r="F5" s="877">
        <f>+Index!D14</f>
        <v>0</v>
      </c>
      <c r="G5" s="877"/>
      <c r="H5" s="117"/>
    </row>
    <row r="6" spans="1:8" ht="16.5" customHeight="1" x14ac:dyDescent="0.25">
      <c r="A6" s="166" t="s">
        <v>358</v>
      </c>
      <c r="B6" s="117"/>
      <c r="C6" s="856" t="str">
        <f>Index!D11</f>
        <v>NC Housing Finance Agency</v>
      </c>
      <c r="D6" s="857"/>
      <c r="E6" s="167" t="s">
        <v>181</v>
      </c>
      <c r="F6" s="877">
        <f>+Index!D16</f>
        <v>0</v>
      </c>
      <c r="G6" s="877"/>
      <c r="H6" s="117"/>
    </row>
    <row r="7" spans="1:8" ht="16.5" customHeight="1" x14ac:dyDescent="0.25">
      <c r="A7" s="166" t="s">
        <v>20</v>
      </c>
      <c r="B7" s="117"/>
      <c r="C7" s="168">
        <f>+Index!D13</f>
        <v>2611</v>
      </c>
      <c r="D7" s="164"/>
      <c r="E7" s="167" t="s">
        <v>196</v>
      </c>
      <c r="F7" s="877">
        <f>+Index!D15</f>
        <v>0</v>
      </c>
      <c r="G7" s="877"/>
      <c r="H7" s="117"/>
    </row>
    <row r="8" spans="1:8" ht="14.1" customHeight="1" thickBot="1" x14ac:dyDescent="0.3">
      <c r="A8" s="336" t="s">
        <v>985</v>
      </c>
      <c r="B8" s="122"/>
      <c r="C8" s="269"/>
      <c r="D8" s="122"/>
      <c r="E8" s="122"/>
      <c r="F8" s="122"/>
      <c r="G8" s="170"/>
      <c r="H8" s="123"/>
    </row>
    <row r="9" spans="1:8" ht="15.9" customHeight="1" x14ac:dyDescent="0.25"/>
    <row r="10" spans="1:8" ht="13.8" x14ac:dyDescent="0.25">
      <c r="A10" s="885" t="s">
        <v>207</v>
      </c>
      <c r="B10" s="885"/>
      <c r="C10" s="885"/>
      <c r="D10" s="885"/>
      <c r="E10" s="885"/>
      <c r="F10" s="10"/>
    </row>
    <row r="11" spans="1:8" ht="8.1" customHeight="1" x14ac:dyDescent="0.25">
      <c r="A11" s="174"/>
      <c r="B11" s="174"/>
      <c r="C11" s="174"/>
      <c r="D11" s="9"/>
      <c r="E11" s="9"/>
      <c r="F11" s="10"/>
    </row>
    <row r="12" spans="1:8" x14ac:dyDescent="0.25">
      <c r="A12" s="174"/>
      <c r="B12" s="124" t="s">
        <v>204</v>
      </c>
      <c r="C12" s="124"/>
      <c r="D12" s="9"/>
      <c r="E12" s="9"/>
      <c r="F12" s="10"/>
    </row>
    <row r="13" spans="1:8" x14ac:dyDescent="0.25">
      <c r="A13" s="10">
        <v>120</v>
      </c>
      <c r="B13" s="849" t="s">
        <v>202</v>
      </c>
      <c r="C13" s="849"/>
      <c r="D13" s="849"/>
      <c r="E13" s="849"/>
      <c r="F13" s="313">
        <v>0</v>
      </c>
      <c r="G13" s="241" t="str">
        <f>IF(F13=0," ",IF((F$13+F$14+F$24+F$25)='515'!H$26," ","You must also complete worksheet 515"))</f>
        <v xml:space="preserve"> </v>
      </c>
    </row>
    <row r="14" spans="1:8" x14ac:dyDescent="0.25">
      <c r="A14" s="10">
        <v>164</v>
      </c>
      <c r="B14" s="849" t="s">
        <v>86</v>
      </c>
      <c r="C14" s="849"/>
      <c r="D14" s="849"/>
      <c r="E14" s="849"/>
      <c r="F14" s="313">
        <v>0</v>
      </c>
      <c r="G14" s="241" t="str">
        <f>IF(F14=0," ",IF((F$13+F$14+F$24+F$25)='515'!H$26," ","You must also complete worksheet 515"))</f>
        <v xml:space="preserve"> </v>
      </c>
    </row>
    <row r="15" spans="1:8" x14ac:dyDescent="0.25">
      <c r="A15" s="10">
        <v>122</v>
      </c>
      <c r="B15" s="849" t="s">
        <v>203</v>
      </c>
      <c r="C15" s="849"/>
      <c r="D15" s="849"/>
      <c r="E15" s="849"/>
      <c r="F15" s="313">
        <v>0</v>
      </c>
      <c r="G15" s="241" t="str">
        <f>IF(F15=0," ",IF((F$15+F$26)='525'!H$33," ","You must also complete worksheet 525"))</f>
        <v xml:space="preserve"> </v>
      </c>
    </row>
    <row r="16" spans="1:8" s="741" customFormat="1" x14ac:dyDescent="0.25">
      <c r="A16" s="10">
        <v>126</v>
      </c>
      <c r="B16" s="860" t="s">
        <v>1349</v>
      </c>
      <c r="C16" s="860"/>
      <c r="D16" s="860"/>
      <c r="E16" s="860"/>
      <c r="F16" s="313">
        <v>0</v>
      </c>
      <c r="G16" s="241" t="str">
        <f>IF(F16=0," ",IF((F$15+F$26)='525'!H$33," ","You must also complete worksheet 535"))</f>
        <v xml:space="preserve"> </v>
      </c>
      <c r="H16" s="639"/>
    </row>
    <row r="17" spans="1:7" x14ac:dyDescent="0.25">
      <c r="A17" s="271">
        <v>163</v>
      </c>
      <c r="B17" s="849" t="s">
        <v>385</v>
      </c>
      <c r="C17" s="849"/>
      <c r="D17" s="849"/>
      <c r="E17" s="849"/>
      <c r="F17" s="313">
        <v>0</v>
      </c>
      <c r="G17" s="241"/>
    </row>
    <row r="18" spans="1:7" s="784" customFormat="1" x14ac:dyDescent="0.25">
      <c r="A18" s="271">
        <v>155</v>
      </c>
      <c r="B18" s="862" t="s">
        <v>1416</v>
      </c>
      <c r="C18" s="862"/>
      <c r="D18" s="862"/>
      <c r="E18" s="862"/>
      <c r="F18" s="313">
        <v>0</v>
      </c>
      <c r="G18" s="785" t="s">
        <v>1410</v>
      </c>
    </row>
    <row r="19" spans="1:7" x14ac:dyDescent="0.25">
      <c r="A19" s="10">
        <v>124</v>
      </c>
      <c r="B19" s="849" t="s">
        <v>322</v>
      </c>
      <c r="C19" s="849"/>
      <c r="D19" s="849"/>
      <c r="E19" s="849"/>
      <c r="F19" s="313">
        <v>0</v>
      </c>
    </row>
    <row r="20" spans="1:7" x14ac:dyDescent="0.25">
      <c r="A20" s="174"/>
      <c r="B20" s="850" t="s">
        <v>240</v>
      </c>
      <c r="C20" s="850"/>
      <c r="D20" s="850"/>
      <c r="E20" s="850"/>
      <c r="F20" s="317">
        <f>SUM(F13:F19)</f>
        <v>0</v>
      </c>
    </row>
    <row r="21" spans="1:7" x14ac:dyDescent="0.25">
      <c r="A21" s="174"/>
      <c r="B21" s="195" t="s">
        <v>603</v>
      </c>
      <c r="C21" s="184"/>
      <c r="D21" s="9"/>
      <c r="E21" s="9"/>
      <c r="F21" s="187" t="str">
        <f>IF(F20=FASB_Stmts!F14,"OK","ERROR")</f>
        <v>OK</v>
      </c>
    </row>
    <row r="22" spans="1:7" ht="9.9" customHeight="1" x14ac:dyDescent="0.25">
      <c r="A22" s="174"/>
      <c r="B22" s="188"/>
      <c r="C22" s="188"/>
      <c r="D22" s="9"/>
      <c r="E22" s="9"/>
      <c r="F22" s="10"/>
    </row>
    <row r="23" spans="1:7" x14ac:dyDescent="0.25">
      <c r="A23" s="174"/>
      <c r="B23" s="124" t="s">
        <v>206</v>
      </c>
      <c r="C23" s="124"/>
      <c r="D23" s="9"/>
      <c r="E23" s="9"/>
      <c r="F23" s="10"/>
    </row>
    <row r="24" spans="1:7" x14ac:dyDescent="0.25">
      <c r="A24" s="10">
        <v>120</v>
      </c>
      <c r="B24" s="849" t="s">
        <v>342</v>
      </c>
      <c r="C24" s="849"/>
      <c r="D24" s="849"/>
      <c r="E24" s="849"/>
      <c r="F24" s="313">
        <v>0</v>
      </c>
      <c r="G24" s="241" t="str">
        <f>IF(F24=0," ",IF((F$13+F$14+F$24+F$25)='515'!H$26," ","You must also complete worksheet 515"))</f>
        <v xml:space="preserve"> </v>
      </c>
    </row>
    <row r="25" spans="1:7" x14ac:dyDescent="0.25">
      <c r="A25" s="10">
        <v>164</v>
      </c>
      <c r="B25" s="849" t="s">
        <v>86</v>
      </c>
      <c r="C25" s="849"/>
      <c r="D25" s="849"/>
      <c r="E25" s="849"/>
      <c r="F25" s="313">
        <v>0</v>
      </c>
      <c r="G25" s="241" t="str">
        <f>IF(F25=0," ",IF((F$13+F$14+F$24+F$25)='515'!H$26," ","You must also complete worksheet 515"))</f>
        <v xml:space="preserve"> </v>
      </c>
    </row>
    <row r="26" spans="1:7" x14ac:dyDescent="0.25">
      <c r="A26" s="10">
        <v>122</v>
      </c>
      <c r="B26" s="849" t="s">
        <v>205</v>
      </c>
      <c r="C26" s="849"/>
      <c r="D26" s="849"/>
      <c r="E26" s="849"/>
      <c r="F26" s="313">
        <v>0</v>
      </c>
      <c r="G26" s="241" t="str">
        <f>IF(F26=0," ",IF((F$15+F$26)='525'!H$33," ","You must also complete worksheet 525"))</f>
        <v xml:space="preserve"> </v>
      </c>
    </row>
    <row r="27" spans="1:7" x14ac:dyDescent="0.25">
      <c r="A27" s="10">
        <v>154</v>
      </c>
      <c r="B27" s="849" t="s">
        <v>334</v>
      </c>
      <c r="C27" s="849"/>
      <c r="D27" s="849"/>
      <c r="E27" s="849"/>
      <c r="F27" s="313">
        <v>0</v>
      </c>
    </row>
    <row r="28" spans="1:7" x14ac:dyDescent="0.25">
      <c r="A28" s="174"/>
      <c r="B28" s="850" t="s">
        <v>240</v>
      </c>
      <c r="C28" s="850"/>
      <c r="D28" s="850"/>
      <c r="E28" s="850"/>
      <c r="F28" s="317">
        <f>SUM(F24:F27)</f>
        <v>0</v>
      </c>
    </row>
    <row r="29" spans="1:7" x14ac:dyDescent="0.25">
      <c r="A29" s="174"/>
      <c r="B29" s="195" t="s">
        <v>603</v>
      </c>
      <c r="C29" s="184"/>
      <c r="D29" s="9"/>
      <c r="E29" s="9"/>
      <c r="F29" s="187" t="str">
        <f>IF(F28=FASB_Stmts!F18,"OK","ERROR")</f>
        <v>OK</v>
      </c>
    </row>
    <row r="30" spans="1:7" ht="9.9" customHeight="1" x14ac:dyDescent="0.25">
      <c r="A30" s="9"/>
      <c r="B30" s="188"/>
      <c r="C30" s="188"/>
      <c r="D30" s="9"/>
      <c r="E30" s="9"/>
      <c r="F30" s="10"/>
    </row>
    <row r="31" spans="1:7" x14ac:dyDescent="0.25">
      <c r="A31" s="9"/>
      <c r="B31" s="125" t="s">
        <v>200</v>
      </c>
      <c r="C31" s="125"/>
      <c r="D31" s="9"/>
      <c r="E31" s="9"/>
      <c r="F31" s="10"/>
    </row>
    <row r="32" spans="1:7" x14ac:dyDescent="0.25">
      <c r="A32" s="10">
        <v>170</v>
      </c>
      <c r="B32" s="849" t="s">
        <v>299</v>
      </c>
      <c r="C32" s="849"/>
      <c r="D32" s="849"/>
      <c r="E32" s="849"/>
      <c r="F32" s="313">
        <v>0</v>
      </c>
    </row>
    <row r="33" spans="1:6" x14ac:dyDescent="0.25">
      <c r="A33" s="10">
        <v>171</v>
      </c>
      <c r="B33" s="849" t="s">
        <v>301</v>
      </c>
      <c r="C33" s="849"/>
      <c r="D33" s="849"/>
      <c r="E33" s="849"/>
      <c r="F33" s="313">
        <v>0</v>
      </c>
    </row>
    <row r="34" spans="1:6" x14ac:dyDescent="0.25">
      <c r="A34" s="10">
        <v>170</v>
      </c>
      <c r="B34" s="849" t="s">
        <v>300</v>
      </c>
      <c r="C34" s="849"/>
      <c r="D34" s="849"/>
      <c r="E34" s="849"/>
      <c r="F34" s="313">
        <v>0</v>
      </c>
    </row>
    <row r="35" spans="1:6" x14ac:dyDescent="0.25">
      <c r="A35" s="10">
        <v>171</v>
      </c>
      <c r="B35" s="849" t="s">
        <v>302</v>
      </c>
      <c r="C35" s="849"/>
      <c r="D35" s="849"/>
      <c r="E35" s="849"/>
      <c r="F35" s="313">
        <v>0</v>
      </c>
    </row>
    <row r="36" spans="1:6" x14ac:dyDescent="0.25">
      <c r="A36" s="10"/>
      <c r="B36" s="850" t="s">
        <v>240</v>
      </c>
      <c r="C36" s="850"/>
      <c r="D36" s="850"/>
      <c r="E36" s="850"/>
      <c r="F36" s="317">
        <f>SUM(F32:F35)</f>
        <v>0</v>
      </c>
    </row>
    <row r="37" spans="1:6" x14ac:dyDescent="0.25">
      <c r="A37" s="10"/>
      <c r="B37" s="195" t="s">
        <v>603</v>
      </c>
      <c r="C37" s="184"/>
      <c r="D37" s="9"/>
      <c r="E37" s="9"/>
      <c r="F37" s="187" t="str">
        <f>IF(F36=FASB_Stmts!F23,"OK","ERROR")</f>
        <v>OK</v>
      </c>
    </row>
    <row r="38" spans="1:6" ht="9.9" customHeight="1" x14ac:dyDescent="0.25">
      <c r="A38" s="10"/>
      <c r="B38" s="184"/>
      <c r="C38" s="184"/>
      <c r="D38" s="9"/>
      <c r="E38" s="9"/>
      <c r="F38" s="10"/>
    </row>
    <row r="39" spans="1:6" x14ac:dyDescent="0.25">
      <c r="A39" s="10"/>
      <c r="B39" s="124" t="s">
        <v>211</v>
      </c>
      <c r="C39" s="124"/>
      <c r="D39" s="9"/>
      <c r="E39" s="9"/>
      <c r="F39" s="10"/>
    </row>
    <row r="40" spans="1:6" x14ac:dyDescent="0.25">
      <c r="A40" s="10">
        <v>200</v>
      </c>
      <c r="B40" s="849" t="s">
        <v>343</v>
      </c>
      <c r="C40" s="849"/>
      <c r="D40" s="849"/>
      <c r="E40" s="849"/>
      <c r="F40" s="313">
        <v>0</v>
      </c>
    </row>
    <row r="41" spans="1:6" x14ac:dyDescent="0.25">
      <c r="A41" s="10">
        <v>202</v>
      </c>
      <c r="B41" s="849" t="s">
        <v>212</v>
      </c>
      <c r="C41" s="849"/>
      <c r="D41" s="849"/>
      <c r="E41" s="849"/>
      <c r="F41" s="313">
        <v>0</v>
      </c>
    </row>
    <row r="42" spans="1:6" x14ac:dyDescent="0.25">
      <c r="A42" s="10">
        <v>204</v>
      </c>
      <c r="B42" s="849" t="s">
        <v>325</v>
      </c>
      <c r="C42" s="849"/>
      <c r="D42" s="849"/>
      <c r="E42" s="849"/>
      <c r="F42" s="313">
        <v>0</v>
      </c>
    </row>
    <row r="43" spans="1:6" x14ac:dyDescent="0.25">
      <c r="A43" s="10"/>
      <c r="B43" s="850" t="s">
        <v>240</v>
      </c>
      <c r="C43" s="850"/>
      <c r="D43" s="850"/>
      <c r="E43" s="850"/>
      <c r="F43" s="317">
        <f>SUM(F40:F42)</f>
        <v>0</v>
      </c>
    </row>
    <row r="44" spans="1:6" x14ac:dyDescent="0.25">
      <c r="A44" s="10"/>
      <c r="B44" s="195" t="s">
        <v>603</v>
      </c>
      <c r="C44" s="184"/>
      <c r="D44" s="9"/>
      <c r="E44" s="9"/>
      <c r="F44" s="187" t="str">
        <f>IF(F43=FASB_Stmts!F27,"OK","ERROR")</f>
        <v>OK</v>
      </c>
    </row>
    <row r="45" spans="1:6" ht="9.9" customHeight="1" x14ac:dyDescent="0.25">
      <c r="A45" s="10"/>
      <c r="B45" s="184"/>
      <c r="C45" s="184"/>
      <c r="D45" s="9"/>
      <c r="E45" s="9"/>
      <c r="F45" s="10"/>
    </row>
    <row r="46" spans="1:6" x14ac:dyDescent="0.25">
      <c r="A46" s="10"/>
      <c r="B46" s="124" t="s">
        <v>213</v>
      </c>
      <c r="C46" s="124"/>
      <c r="D46" s="9"/>
      <c r="E46" s="9"/>
      <c r="F46" s="10"/>
    </row>
    <row r="47" spans="1:6" x14ac:dyDescent="0.25">
      <c r="A47" s="10">
        <v>200</v>
      </c>
      <c r="B47" s="849" t="s">
        <v>343</v>
      </c>
      <c r="C47" s="849"/>
      <c r="D47" s="849"/>
      <c r="E47" s="849"/>
      <c r="F47" s="313">
        <v>0</v>
      </c>
    </row>
    <row r="48" spans="1:6" x14ac:dyDescent="0.25">
      <c r="A48" s="10">
        <v>202</v>
      </c>
      <c r="B48" s="849" t="s">
        <v>212</v>
      </c>
      <c r="C48" s="849"/>
      <c r="D48" s="849"/>
      <c r="E48" s="849"/>
      <c r="F48" s="313">
        <v>0</v>
      </c>
    </row>
    <row r="49" spans="1:7" x14ac:dyDescent="0.25">
      <c r="A49" s="10">
        <v>204</v>
      </c>
      <c r="B49" s="849" t="s">
        <v>324</v>
      </c>
      <c r="C49" s="849"/>
      <c r="D49" s="849"/>
      <c r="E49" s="849"/>
      <c r="F49" s="313">
        <v>0</v>
      </c>
    </row>
    <row r="50" spans="1:7" x14ac:dyDescent="0.25">
      <c r="A50" s="10"/>
      <c r="B50" s="850" t="s">
        <v>240</v>
      </c>
      <c r="C50" s="850"/>
      <c r="D50" s="850"/>
      <c r="E50" s="850"/>
      <c r="F50" s="317">
        <f>SUM(F47:F49)</f>
        <v>0</v>
      </c>
    </row>
    <row r="51" spans="1:7" x14ac:dyDescent="0.25">
      <c r="A51" s="10"/>
      <c r="B51" s="195" t="s">
        <v>603</v>
      </c>
      <c r="C51" s="195"/>
      <c r="D51" s="9"/>
      <c r="E51" s="9"/>
      <c r="F51" s="187" t="str">
        <f>IF(F50=FASB_Stmts!F28,"OK","ERROR")</f>
        <v>OK</v>
      </c>
    </row>
    <row r="52" spans="1:7" ht="9.9" customHeight="1" x14ac:dyDescent="0.25">
      <c r="A52" s="10"/>
      <c r="B52" s="184"/>
      <c r="C52" s="184"/>
      <c r="D52" s="9"/>
      <c r="E52" s="9"/>
      <c r="F52" s="10"/>
    </row>
    <row r="53" spans="1:7" x14ac:dyDescent="0.25">
      <c r="A53" s="10"/>
      <c r="B53" s="798" t="s">
        <v>1411</v>
      </c>
      <c r="C53" s="125"/>
      <c r="D53" s="9"/>
      <c r="E53" s="9"/>
      <c r="F53" s="9"/>
      <c r="G53" s="785" t="s">
        <v>1410</v>
      </c>
    </row>
    <row r="54" spans="1:7" x14ac:dyDescent="0.25">
      <c r="A54" s="10">
        <v>243</v>
      </c>
      <c r="B54" s="849" t="s">
        <v>265</v>
      </c>
      <c r="C54" s="849"/>
      <c r="D54" s="849"/>
      <c r="E54" s="849"/>
      <c r="F54" s="313">
        <v>0</v>
      </c>
    </row>
    <row r="55" spans="1:7" x14ac:dyDescent="0.25">
      <c r="A55" s="10">
        <v>243</v>
      </c>
      <c r="B55" s="849" t="s">
        <v>266</v>
      </c>
      <c r="C55" s="849"/>
      <c r="D55" s="849"/>
      <c r="E55" s="849"/>
      <c r="F55" s="313">
        <v>0</v>
      </c>
    </row>
    <row r="56" spans="1:7" x14ac:dyDescent="0.25">
      <c r="A56" s="10"/>
      <c r="B56" s="850" t="s">
        <v>240</v>
      </c>
      <c r="C56" s="850"/>
      <c r="D56" s="850"/>
      <c r="E56" s="850"/>
      <c r="F56" s="317">
        <f>SUM(F54:F55)</f>
        <v>0</v>
      </c>
    </row>
    <row r="57" spans="1:7" x14ac:dyDescent="0.25">
      <c r="A57" s="10"/>
      <c r="B57" s="195" t="s">
        <v>603</v>
      </c>
      <c r="C57" s="184"/>
      <c r="D57" s="9"/>
      <c r="E57" s="9"/>
      <c r="F57" s="187" t="str">
        <f>IF(F56=FASB_Stmts!F33,"OK","ERROR")</f>
        <v>OK</v>
      </c>
    </row>
    <row r="58" spans="1:7" ht="9.9" customHeight="1" x14ac:dyDescent="0.25">
      <c r="A58" s="10"/>
      <c r="B58" s="184"/>
      <c r="C58" s="184"/>
      <c r="D58" s="9"/>
      <c r="E58" s="9"/>
      <c r="F58" s="9"/>
    </row>
    <row r="59" spans="1:7" x14ac:dyDescent="0.25">
      <c r="A59" s="634"/>
      <c r="B59" s="635" t="s">
        <v>244</v>
      </c>
      <c r="C59" s="635"/>
      <c r="D59" s="636"/>
      <c r="E59" s="636"/>
      <c r="F59" s="9"/>
    </row>
    <row r="60" spans="1:7" x14ac:dyDescent="0.25">
      <c r="A60" s="634">
        <v>240</v>
      </c>
      <c r="B60" s="860" t="s">
        <v>265</v>
      </c>
      <c r="C60" s="860"/>
      <c r="D60" s="860"/>
      <c r="E60" s="860"/>
      <c r="F60" s="313">
        <v>0</v>
      </c>
    </row>
    <row r="61" spans="1:7" x14ac:dyDescent="0.25">
      <c r="A61" s="634">
        <v>241</v>
      </c>
      <c r="B61" s="860" t="s">
        <v>266</v>
      </c>
      <c r="C61" s="860"/>
      <c r="D61" s="860"/>
      <c r="E61" s="860"/>
      <c r="F61" s="313">
        <v>0</v>
      </c>
    </row>
    <row r="62" spans="1:7" x14ac:dyDescent="0.25">
      <c r="A62" s="10"/>
      <c r="B62" s="850" t="s">
        <v>240</v>
      </c>
      <c r="C62" s="850"/>
      <c r="D62" s="850"/>
      <c r="E62" s="850"/>
      <c r="F62" s="317">
        <f>SUM(F60:F61)</f>
        <v>0</v>
      </c>
    </row>
    <row r="63" spans="1:7" x14ac:dyDescent="0.25">
      <c r="A63" s="10"/>
      <c r="B63" s="195" t="s">
        <v>603</v>
      </c>
      <c r="C63" s="184"/>
      <c r="D63" s="9"/>
      <c r="E63" s="9"/>
      <c r="F63" s="187" t="str">
        <f>IF(F62=FASB_Stmts!F34,"OK","ERROR")</f>
        <v>OK</v>
      </c>
    </row>
    <row r="64" spans="1:7" ht="9" customHeight="1" x14ac:dyDescent="0.25">
      <c r="A64" s="10"/>
      <c r="B64" s="184"/>
      <c r="C64" s="184"/>
      <c r="D64" s="9"/>
      <c r="E64" s="9"/>
      <c r="F64" s="9"/>
    </row>
    <row r="65" spans="1:10" x14ac:dyDescent="0.25">
      <c r="A65" s="10"/>
      <c r="B65" s="125" t="s">
        <v>321</v>
      </c>
      <c r="C65" s="125"/>
      <c r="D65" s="9"/>
      <c r="E65" s="9"/>
      <c r="F65" s="9"/>
    </row>
    <row r="66" spans="1:10" x14ac:dyDescent="0.25">
      <c r="A66" s="327">
        <v>508</v>
      </c>
      <c r="B66" s="882" t="s">
        <v>617</v>
      </c>
      <c r="C66" s="882"/>
      <c r="D66" s="882"/>
      <c r="E66" s="882"/>
      <c r="F66" s="313">
        <v>0</v>
      </c>
      <c r="G66" s="331"/>
      <c r="H66" s="331" t="s">
        <v>620</v>
      </c>
    </row>
    <row r="67" spans="1:10" s="646" customFormat="1" x14ac:dyDescent="0.25">
      <c r="A67" s="327">
        <v>509</v>
      </c>
      <c r="B67" s="869" t="s">
        <v>1307</v>
      </c>
      <c r="C67" s="869"/>
      <c r="D67" s="869"/>
      <c r="E67" s="869"/>
      <c r="F67" s="313">
        <v>0</v>
      </c>
      <c r="G67" s="331"/>
      <c r="H67" s="650"/>
    </row>
    <row r="68" spans="1:10" x14ac:dyDescent="0.25">
      <c r="A68" s="327">
        <v>510</v>
      </c>
      <c r="B68" s="882" t="s">
        <v>618</v>
      </c>
      <c r="C68" s="882"/>
      <c r="D68" s="882"/>
      <c r="E68" s="882"/>
      <c r="F68" s="313">
        <v>0</v>
      </c>
      <c r="G68" s="331"/>
      <c r="H68" s="331" t="s">
        <v>621</v>
      </c>
    </row>
    <row r="69" spans="1:10" x14ac:dyDescent="0.25">
      <c r="A69" s="327">
        <v>511</v>
      </c>
      <c r="B69" s="882" t="s">
        <v>326</v>
      </c>
      <c r="C69" s="882"/>
      <c r="D69" s="882"/>
      <c r="E69" s="882"/>
      <c r="F69" s="313">
        <v>0</v>
      </c>
      <c r="G69" s="331"/>
      <c r="H69" s="331" t="s">
        <v>622</v>
      </c>
    </row>
    <row r="70" spans="1:10" x14ac:dyDescent="0.25">
      <c r="A70" s="10">
        <v>512</v>
      </c>
      <c r="B70" s="849" t="s">
        <v>354</v>
      </c>
      <c r="C70" s="849"/>
      <c r="D70" s="849"/>
      <c r="E70" s="849"/>
      <c r="F70" s="313">
        <v>0</v>
      </c>
    </row>
    <row r="71" spans="1:10" s="743" customFormat="1" x14ac:dyDescent="0.25">
      <c r="A71" s="327">
        <v>515</v>
      </c>
      <c r="B71" s="860" t="s">
        <v>1351</v>
      </c>
      <c r="C71" s="860"/>
      <c r="D71" s="860"/>
      <c r="E71" s="860"/>
      <c r="F71" s="313">
        <v>0</v>
      </c>
      <c r="H71" s="749"/>
      <c r="I71" s="750"/>
      <c r="J71" s="750"/>
    </row>
    <row r="72" spans="1:10" s="646" customFormat="1" x14ac:dyDescent="0.25">
      <c r="A72" s="271" t="s">
        <v>1213</v>
      </c>
      <c r="B72" s="869" t="s">
        <v>1224</v>
      </c>
      <c r="C72" s="869"/>
      <c r="D72" s="869"/>
      <c r="E72" s="869"/>
      <c r="F72" s="313">
        <v>0</v>
      </c>
      <c r="H72" s="650"/>
    </row>
    <row r="73" spans="1:10" s="789" customFormat="1" x14ac:dyDescent="0.25">
      <c r="A73" s="10">
        <v>513</v>
      </c>
      <c r="B73" s="849" t="s">
        <v>619</v>
      </c>
      <c r="C73" s="849"/>
      <c r="D73" s="849"/>
      <c r="E73" s="849"/>
      <c r="F73" s="313"/>
      <c r="H73" s="650"/>
    </row>
    <row r="74" spans="1:10" x14ac:dyDescent="0.25">
      <c r="A74" s="10">
        <v>521</v>
      </c>
      <c r="B74" s="883" t="s">
        <v>1421</v>
      </c>
      <c r="C74" s="883"/>
      <c r="D74" s="883"/>
      <c r="E74" s="883"/>
      <c r="F74" s="313">
        <v>0</v>
      </c>
      <c r="G74" s="785" t="s">
        <v>1410</v>
      </c>
    </row>
    <row r="75" spans="1:10" x14ac:dyDescent="0.25">
      <c r="A75" s="10"/>
      <c r="B75" s="850" t="s">
        <v>240</v>
      </c>
      <c r="C75" s="850"/>
      <c r="D75" s="850"/>
      <c r="E75" s="850"/>
      <c r="F75" s="317">
        <f>SUM(F66:F74)</f>
        <v>0</v>
      </c>
    </row>
    <row r="76" spans="1:10" x14ac:dyDescent="0.25">
      <c r="A76" s="10"/>
      <c r="B76" s="195" t="s">
        <v>604</v>
      </c>
      <c r="C76" s="184"/>
      <c r="D76" s="9"/>
      <c r="E76" s="9"/>
      <c r="F76" s="187" t="str">
        <f>IF(F75=FASB_Stmts!F60,"OK","ERROR")</f>
        <v>OK</v>
      </c>
    </row>
    <row r="77" spans="1:10" x14ac:dyDescent="0.25">
      <c r="A77" s="10"/>
      <c r="B77" s="195"/>
      <c r="C77" s="184"/>
      <c r="D77" s="9"/>
      <c r="E77" s="9"/>
      <c r="F77" s="187"/>
    </row>
    <row r="78" spans="1:10" x14ac:dyDescent="0.25">
      <c r="A78" s="10"/>
      <c r="B78" s="125" t="s">
        <v>1051</v>
      </c>
      <c r="C78" s="125"/>
      <c r="D78" s="9"/>
      <c r="E78" s="9"/>
      <c r="F78" s="9"/>
    </row>
    <row r="79" spans="1:10" x14ac:dyDescent="0.25">
      <c r="A79" s="271">
        <v>512</v>
      </c>
      <c r="B79" s="849" t="s">
        <v>1054</v>
      </c>
      <c r="C79" s="849"/>
      <c r="D79" s="849"/>
      <c r="E79" s="849"/>
      <c r="F79" s="313">
        <v>0</v>
      </c>
      <c r="G79" s="331"/>
    </row>
    <row r="80" spans="1:10" x14ac:dyDescent="0.25">
      <c r="A80" s="271">
        <v>514</v>
      </c>
      <c r="B80" s="849" t="s">
        <v>1055</v>
      </c>
      <c r="C80" s="849"/>
      <c r="D80" s="849"/>
      <c r="E80" s="849"/>
      <c r="F80" s="313">
        <v>0</v>
      </c>
      <c r="G80" s="331"/>
    </row>
    <row r="81" spans="1:6" x14ac:dyDescent="0.25">
      <c r="A81" s="10"/>
      <c r="B81" s="850" t="s">
        <v>240</v>
      </c>
      <c r="C81" s="850"/>
      <c r="D81" s="850"/>
      <c r="E81" s="850"/>
      <c r="F81" s="317">
        <f>SUM(F79:F80)</f>
        <v>0</v>
      </c>
    </row>
    <row r="82" spans="1:6" x14ac:dyDescent="0.25">
      <c r="A82" s="10"/>
      <c r="B82" s="195" t="s">
        <v>604</v>
      </c>
      <c r="C82" s="184"/>
      <c r="D82" s="9"/>
      <c r="E82" s="9"/>
      <c r="F82" s="187" t="str">
        <f>IF(F81=FASB_Stmts!F61,"OK","ERROR")</f>
        <v>OK</v>
      </c>
    </row>
    <row r="83" spans="1:6" x14ac:dyDescent="0.25">
      <c r="A83" s="10"/>
      <c r="B83" s="195"/>
      <c r="C83" s="184"/>
      <c r="D83" s="9"/>
      <c r="E83" s="9"/>
      <c r="F83" s="187"/>
    </row>
    <row r="84" spans="1:6" x14ac:dyDescent="0.25">
      <c r="A84" s="10"/>
      <c r="B84" s="125" t="s">
        <v>280</v>
      </c>
      <c r="C84" s="184"/>
      <c r="D84" s="9"/>
      <c r="E84" s="9"/>
      <c r="F84" s="187"/>
    </row>
    <row r="85" spans="1:6" x14ac:dyDescent="0.25">
      <c r="A85" s="327">
        <v>512</v>
      </c>
      <c r="B85" s="882" t="s">
        <v>1095</v>
      </c>
      <c r="C85" s="882"/>
      <c r="D85" s="882"/>
      <c r="E85" s="882"/>
      <c r="F85" s="313">
        <v>0</v>
      </c>
    </row>
    <row r="86" spans="1:6" x14ac:dyDescent="0.25">
      <c r="A86" s="327">
        <v>514</v>
      </c>
      <c r="B86" s="882" t="s">
        <v>1096</v>
      </c>
      <c r="C86" s="882"/>
      <c r="D86" s="882"/>
      <c r="E86" s="882"/>
      <c r="F86" s="313">
        <v>0</v>
      </c>
    </row>
    <row r="87" spans="1:6" x14ac:dyDescent="0.25">
      <c r="A87" s="10"/>
      <c r="B87" s="850" t="s">
        <v>240</v>
      </c>
      <c r="C87" s="850"/>
      <c r="D87" s="850"/>
      <c r="E87" s="850"/>
      <c r="F87" s="317">
        <f>SUM(F85:F86)</f>
        <v>0</v>
      </c>
    </row>
    <row r="88" spans="1:6" x14ac:dyDescent="0.25">
      <c r="A88" s="10"/>
      <c r="B88" s="195" t="s">
        <v>604</v>
      </c>
      <c r="C88" s="529"/>
      <c r="D88" s="529"/>
      <c r="E88" s="529"/>
      <c r="F88" s="187" t="str">
        <f>IF(F87=FASB_Stmts!F62,"OK","ERROR")</f>
        <v>OK</v>
      </c>
    </row>
    <row r="89" spans="1:6" x14ac:dyDescent="0.25">
      <c r="A89" s="10"/>
      <c r="B89" s="195"/>
      <c r="C89" s="184"/>
      <c r="D89" s="9"/>
      <c r="E89" s="9"/>
      <c r="F89" s="187"/>
    </row>
    <row r="90" spans="1:6" x14ac:dyDescent="0.25">
      <c r="A90" s="10"/>
      <c r="B90" s="326" t="s">
        <v>601</v>
      </c>
      <c r="C90" s="184"/>
      <c r="D90" s="9"/>
      <c r="E90" s="9"/>
      <c r="F90" s="187"/>
    </row>
    <row r="91" spans="1:6" x14ac:dyDescent="0.25">
      <c r="A91" s="10"/>
      <c r="B91" s="325" t="s">
        <v>602</v>
      </c>
      <c r="C91" s="184"/>
      <c r="D91" s="9"/>
      <c r="E91" s="9"/>
      <c r="F91" s="313">
        <v>0</v>
      </c>
    </row>
    <row r="92" spans="1:6" x14ac:dyDescent="0.25">
      <c r="A92" s="10"/>
      <c r="B92" s="325" t="s">
        <v>597</v>
      </c>
      <c r="C92" s="184"/>
      <c r="D92" s="9"/>
      <c r="E92" s="9"/>
      <c r="F92" s="313">
        <v>0</v>
      </c>
    </row>
    <row r="93" spans="1:6" x14ac:dyDescent="0.25">
      <c r="A93" s="10"/>
      <c r="B93" s="850" t="s">
        <v>605</v>
      </c>
      <c r="C93" s="850"/>
      <c r="D93" s="850"/>
      <c r="E93" s="850"/>
      <c r="F93" s="317">
        <f>SUM(F91:F92)</f>
        <v>0</v>
      </c>
    </row>
    <row r="94" spans="1:6" x14ac:dyDescent="0.25">
      <c r="A94" s="10"/>
      <c r="B94" s="195" t="s">
        <v>604</v>
      </c>
      <c r="C94" s="184"/>
      <c r="D94" s="9"/>
      <c r="E94" s="9"/>
      <c r="F94" s="187"/>
    </row>
    <row r="95" spans="1:6" x14ac:dyDescent="0.25">
      <c r="A95" s="10"/>
      <c r="B95" s="195"/>
      <c r="C95" s="184"/>
      <c r="D95" s="9"/>
      <c r="E95" s="9"/>
      <c r="F95" s="187"/>
    </row>
    <row r="96" spans="1:6" ht="9.9" customHeight="1" x14ac:dyDescent="0.25">
      <c r="A96" s="10"/>
      <c r="B96" s="184"/>
      <c r="C96" s="184"/>
      <c r="D96" s="9"/>
      <c r="E96" s="9"/>
      <c r="F96" s="9"/>
    </row>
    <row r="97" spans="1:6" x14ac:dyDescent="0.25">
      <c r="A97" s="10"/>
      <c r="B97" s="881" t="s">
        <v>281</v>
      </c>
      <c r="C97" s="881"/>
      <c r="D97" s="881"/>
      <c r="E97" s="881"/>
      <c r="F97" s="9"/>
    </row>
    <row r="98" spans="1:6" ht="6.9" customHeight="1" x14ac:dyDescent="0.25">
      <c r="A98" s="10"/>
      <c r="B98" s="174"/>
      <c r="C98" s="174"/>
      <c r="D98" s="9"/>
      <c r="E98" s="9"/>
      <c r="F98" s="9"/>
    </row>
    <row r="99" spans="1:6" x14ac:dyDescent="0.25">
      <c r="A99" s="10"/>
      <c r="B99" s="637" t="s">
        <v>244</v>
      </c>
      <c r="C99" s="637"/>
      <c r="D99" s="636"/>
      <c r="E99" s="636"/>
      <c r="F99" s="9"/>
    </row>
    <row r="100" spans="1:6" x14ac:dyDescent="0.25">
      <c r="A100" s="10"/>
      <c r="B100" s="860" t="s">
        <v>289</v>
      </c>
      <c r="C100" s="860"/>
      <c r="D100" s="860"/>
      <c r="E100" s="860"/>
      <c r="F100" s="313">
        <v>0</v>
      </c>
    </row>
    <row r="101" spans="1:6" x14ac:dyDescent="0.25">
      <c r="A101" s="10"/>
      <c r="B101" s="860" t="s">
        <v>290</v>
      </c>
      <c r="C101" s="860"/>
      <c r="D101" s="860"/>
      <c r="E101" s="860"/>
      <c r="F101" s="313">
        <v>0</v>
      </c>
    </row>
    <row r="102" spans="1:6" x14ac:dyDescent="0.25">
      <c r="A102" s="10"/>
      <c r="B102" s="870" t="s">
        <v>240</v>
      </c>
      <c r="C102" s="870"/>
      <c r="D102" s="870"/>
      <c r="E102" s="870"/>
      <c r="F102" s="317">
        <f>SUM(F100:F101)</f>
        <v>0</v>
      </c>
    </row>
    <row r="103" spans="1:6" x14ac:dyDescent="0.25">
      <c r="A103" s="10"/>
      <c r="B103" s="195" t="s">
        <v>267</v>
      </c>
      <c r="C103" s="184"/>
      <c r="D103" s="9"/>
      <c r="E103" s="9"/>
      <c r="F103" s="187" t="str">
        <f>IF(F102=FASB_Stmts!F34,"OK","ERROR")</f>
        <v>OK</v>
      </c>
    </row>
    <row r="104" spans="1:6" ht="9" customHeight="1" x14ac:dyDescent="0.25">
      <c r="A104" s="10"/>
      <c r="B104" s="188"/>
      <c r="C104" s="188"/>
      <c r="D104" s="9"/>
      <c r="E104" s="9"/>
      <c r="F104" s="189"/>
    </row>
    <row r="105" spans="1:6" x14ac:dyDescent="0.25">
      <c r="A105" s="10"/>
      <c r="B105" s="124" t="s">
        <v>201</v>
      </c>
      <c r="C105" s="124"/>
      <c r="D105" s="9"/>
      <c r="E105" s="9"/>
      <c r="F105" s="189"/>
    </row>
    <row r="106" spans="1:6" x14ac:dyDescent="0.25">
      <c r="A106" s="10"/>
      <c r="B106" s="849" t="s">
        <v>291</v>
      </c>
      <c r="C106" s="849"/>
      <c r="D106" s="849"/>
      <c r="E106" s="849"/>
      <c r="F106" s="313">
        <v>0</v>
      </c>
    </row>
    <row r="107" spans="1:6" x14ac:dyDescent="0.25">
      <c r="A107" s="10"/>
      <c r="B107" s="849" t="s">
        <v>292</v>
      </c>
      <c r="C107" s="849"/>
      <c r="D107" s="849"/>
      <c r="E107" s="849"/>
      <c r="F107" s="313">
        <v>0</v>
      </c>
    </row>
    <row r="108" spans="1:6" x14ac:dyDescent="0.25">
      <c r="A108" s="10"/>
      <c r="B108" s="850" t="s">
        <v>240</v>
      </c>
      <c r="C108" s="850"/>
      <c r="D108" s="850"/>
      <c r="E108" s="850"/>
      <c r="F108" s="317">
        <f>SUM(F106:F107)</f>
        <v>0</v>
      </c>
    </row>
    <row r="109" spans="1:6" ht="12.75" customHeight="1" x14ac:dyDescent="0.25">
      <c r="A109" s="10"/>
      <c r="B109" s="184"/>
      <c r="C109" s="184"/>
      <c r="D109" s="9"/>
      <c r="E109" s="9"/>
      <c r="F109" s="9"/>
    </row>
    <row r="110" spans="1:6" x14ac:dyDescent="0.25">
      <c r="A110" s="433"/>
      <c r="B110" s="880" t="s">
        <v>333</v>
      </c>
      <c r="C110" s="880"/>
      <c r="D110" s="880"/>
      <c r="E110" s="880"/>
      <c r="F110" s="431"/>
    </row>
    <row r="111" spans="1:6" x14ac:dyDescent="0.25">
      <c r="A111" s="433"/>
      <c r="B111" s="430" t="s">
        <v>730</v>
      </c>
      <c r="C111" s="430"/>
      <c r="D111" s="431"/>
      <c r="E111" s="431"/>
      <c r="F111" s="431"/>
    </row>
    <row r="112" spans="1:6" x14ac:dyDescent="0.25">
      <c r="A112" s="433"/>
      <c r="B112" s="878" t="s">
        <v>261</v>
      </c>
      <c r="C112" s="878"/>
      <c r="D112" s="878"/>
      <c r="E112" s="878"/>
      <c r="F112" s="434">
        <f>FASB_Stmts!F23</f>
        <v>0</v>
      </c>
    </row>
    <row r="113" spans="1:13" x14ac:dyDescent="0.25">
      <c r="A113" s="433"/>
      <c r="B113" s="878" t="s">
        <v>1413</v>
      </c>
      <c r="C113" s="878"/>
      <c r="D113" s="878"/>
      <c r="E113" s="878"/>
      <c r="F113" s="434">
        <f>FASB_Stmts!F33</f>
        <v>0</v>
      </c>
    </row>
    <row r="114" spans="1:13" x14ac:dyDescent="0.25">
      <c r="A114" s="433"/>
      <c r="B114" s="878" t="s">
        <v>293</v>
      </c>
      <c r="C114" s="878"/>
      <c r="D114" s="878"/>
      <c r="E114" s="878"/>
      <c r="F114" s="434">
        <f>F100</f>
        <v>0</v>
      </c>
    </row>
    <row r="115" spans="1:13" x14ac:dyDescent="0.25">
      <c r="A115" s="433"/>
      <c r="B115" s="878" t="s">
        <v>294</v>
      </c>
      <c r="C115" s="878"/>
      <c r="D115" s="878"/>
      <c r="E115" s="878"/>
      <c r="F115" s="435">
        <f>F106</f>
        <v>0</v>
      </c>
    </row>
    <row r="116" spans="1:13" x14ac:dyDescent="0.25">
      <c r="A116" s="433">
        <v>300</v>
      </c>
      <c r="B116" s="879" t="s">
        <v>730</v>
      </c>
      <c r="C116" s="879"/>
      <c r="D116" s="879"/>
      <c r="E116" s="879"/>
      <c r="F116" s="317">
        <f>F112-F113-F114+F115</f>
        <v>0</v>
      </c>
    </row>
    <row r="117" spans="1:13" ht="3.9" customHeight="1" x14ac:dyDescent="0.25">
      <c r="A117" s="433"/>
      <c r="B117" s="436"/>
      <c r="C117" s="436"/>
      <c r="D117" s="431"/>
      <c r="E117" s="431"/>
      <c r="F117" s="437"/>
    </row>
    <row r="118" spans="1:13" x14ac:dyDescent="0.25">
      <c r="A118" s="433"/>
      <c r="B118" s="430" t="s">
        <v>704</v>
      </c>
      <c r="C118" s="430"/>
      <c r="D118" s="431"/>
      <c r="E118" s="431"/>
      <c r="F118" s="437"/>
    </row>
    <row r="119" spans="1:13" x14ac:dyDescent="0.25">
      <c r="A119" s="433"/>
      <c r="B119" s="878" t="s">
        <v>1231</v>
      </c>
      <c r="C119" s="878"/>
      <c r="D119" s="878"/>
      <c r="E119" s="878"/>
      <c r="F119" s="434">
        <f>FASB_Stmts!F41</f>
        <v>0</v>
      </c>
      <c r="H119" s="639"/>
      <c r="I119" s="638"/>
    </row>
    <row r="120" spans="1:13" x14ac:dyDescent="0.25">
      <c r="A120" s="433"/>
      <c r="B120" s="878" t="s">
        <v>1098</v>
      </c>
      <c r="C120" s="878"/>
      <c r="D120" s="878"/>
      <c r="E120" s="878"/>
      <c r="F120" s="434">
        <f>FASB_Stmts!F19</f>
        <v>0</v>
      </c>
    </row>
    <row r="121" spans="1:13" x14ac:dyDescent="0.25">
      <c r="A121" s="433"/>
      <c r="B121" s="878" t="s">
        <v>297</v>
      </c>
      <c r="C121" s="878"/>
      <c r="D121" s="878"/>
      <c r="E121" s="878"/>
      <c r="F121" s="434">
        <f>F34</f>
        <v>0</v>
      </c>
    </row>
    <row r="122" spans="1:13" x14ac:dyDescent="0.25">
      <c r="A122" s="433"/>
      <c r="B122" s="878" t="s">
        <v>298</v>
      </c>
      <c r="C122" s="878"/>
      <c r="D122" s="878"/>
      <c r="E122" s="878"/>
      <c r="F122" s="435">
        <f>F35</f>
        <v>0</v>
      </c>
      <c r="J122" s="860"/>
      <c r="K122" s="860"/>
      <c r="L122" s="860"/>
      <c r="M122" s="860"/>
    </row>
    <row r="123" spans="1:13" x14ac:dyDescent="0.25">
      <c r="A123" s="433">
        <v>315</v>
      </c>
      <c r="B123" s="879" t="s">
        <v>1414</v>
      </c>
      <c r="C123" s="879"/>
      <c r="D123" s="879"/>
      <c r="E123" s="879"/>
      <c r="F123" s="317">
        <f>F119+F120-F121-F122</f>
        <v>0</v>
      </c>
    </row>
    <row r="124" spans="1:13" ht="3.9" customHeight="1" x14ac:dyDescent="0.25">
      <c r="A124" s="433"/>
      <c r="B124" s="431"/>
      <c r="C124" s="431"/>
      <c r="D124" s="431"/>
      <c r="E124" s="431"/>
      <c r="F124" s="431"/>
    </row>
    <row r="125" spans="1:13" x14ac:dyDescent="0.25">
      <c r="A125" s="433"/>
      <c r="B125" s="432" t="s">
        <v>706</v>
      </c>
      <c r="C125" s="432"/>
      <c r="D125" s="431"/>
      <c r="E125" s="431"/>
      <c r="F125" s="431"/>
    </row>
    <row r="126" spans="1:13" x14ac:dyDescent="0.25">
      <c r="A126" s="433"/>
      <c r="B126" s="878" t="s">
        <v>208</v>
      </c>
      <c r="C126" s="878"/>
      <c r="D126" s="878"/>
      <c r="E126" s="878"/>
      <c r="F126" s="434">
        <f>FASB_Stmts!F46</f>
        <v>0</v>
      </c>
    </row>
    <row r="127" spans="1:13" x14ac:dyDescent="0.25">
      <c r="A127" s="433"/>
      <c r="B127" s="878" t="s">
        <v>731</v>
      </c>
      <c r="C127" s="878"/>
      <c r="D127" s="878"/>
      <c r="E127" s="878"/>
      <c r="F127" s="434">
        <f>F116</f>
        <v>0</v>
      </c>
    </row>
    <row r="128" spans="1:13" x14ac:dyDescent="0.25">
      <c r="A128" s="433"/>
      <c r="B128" s="878" t="s">
        <v>705</v>
      </c>
      <c r="C128" s="878"/>
      <c r="D128" s="878"/>
      <c r="E128" s="878"/>
      <c r="F128" s="435">
        <f>F123</f>
        <v>0</v>
      </c>
    </row>
    <row r="129" spans="1:6" x14ac:dyDescent="0.25">
      <c r="A129" s="433">
        <v>320</v>
      </c>
      <c r="B129" s="879" t="s">
        <v>1415</v>
      </c>
      <c r="C129" s="879"/>
      <c r="D129" s="879"/>
      <c r="E129" s="879"/>
      <c r="F129" s="317">
        <f>F126-F127-F128</f>
        <v>0</v>
      </c>
    </row>
    <row r="130" spans="1:6" ht="6" customHeight="1" x14ac:dyDescent="0.25">
      <c r="A130" s="10"/>
      <c r="B130" s="9"/>
      <c r="C130" s="9"/>
      <c r="D130" s="9"/>
      <c r="E130" s="9"/>
      <c r="F130" s="9"/>
    </row>
    <row r="131" spans="1:6" x14ac:dyDescent="0.25">
      <c r="A131" s="194" t="s">
        <v>256</v>
      </c>
      <c r="B131" s="9"/>
      <c r="C131" s="9"/>
      <c r="D131" s="9"/>
      <c r="E131" s="9"/>
      <c r="F131" s="9"/>
    </row>
    <row r="132" spans="1:6" x14ac:dyDescent="0.25">
      <c r="A132" s="10"/>
      <c r="B132" s="185"/>
      <c r="C132" s="185"/>
      <c r="D132" s="9"/>
      <c r="E132" s="9"/>
      <c r="F132" s="9"/>
    </row>
    <row r="133" spans="1:6" x14ac:dyDescent="0.25">
      <c r="A133" s="191" t="s">
        <v>272</v>
      </c>
      <c r="B133" s="196" t="s">
        <v>328</v>
      </c>
      <c r="C133" s="196"/>
      <c r="D133" s="196"/>
      <c r="E133" s="9"/>
      <c r="F133" s="9"/>
    </row>
    <row r="134" spans="1:6" x14ac:dyDescent="0.25">
      <c r="A134" s="193"/>
      <c r="B134" s="196" t="s">
        <v>349</v>
      </c>
      <c r="C134" s="196"/>
      <c r="D134" s="196"/>
      <c r="E134" s="9"/>
      <c r="F134" s="9"/>
    </row>
    <row r="135" spans="1:6" ht="8.1" customHeight="1" x14ac:dyDescent="0.25">
      <c r="A135" s="193"/>
      <c r="B135" s="196"/>
      <c r="C135" s="196"/>
      <c r="D135" s="196"/>
      <c r="E135" s="9"/>
      <c r="F135" s="9"/>
    </row>
    <row r="136" spans="1:6" ht="12.75" customHeight="1" x14ac:dyDescent="0.25">
      <c r="A136" s="191" t="s">
        <v>273</v>
      </c>
      <c r="B136" s="196" t="s">
        <v>209</v>
      </c>
      <c r="C136" s="196"/>
      <c r="D136" s="196"/>
      <c r="E136" s="9"/>
      <c r="F136" s="9"/>
    </row>
    <row r="137" spans="1:6" ht="12.75" customHeight="1" x14ac:dyDescent="0.25">
      <c r="A137" s="193"/>
      <c r="B137" s="196" t="s">
        <v>335</v>
      </c>
      <c r="C137" s="196"/>
      <c r="D137" s="196"/>
      <c r="E137" s="9"/>
      <c r="F137" s="9"/>
    </row>
    <row r="138" spans="1:6" ht="12.75" customHeight="1" x14ac:dyDescent="0.25">
      <c r="A138" s="193"/>
      <c r="B138" s="196" t="s">
        <v>336</v>
      </c>
      <c r="C138" s="196"/>
      <c r="D138" s="196"/>
      <c r="E138" s="9"/>
      <c r="F138" s="9"/>
    </row>
    <row r="139" spans="1:6" ht="12.75" customHeight="1" x14ac:dyDescent="0.25">
      <c r="A139" s="193"/>
      <c r="B139" s="196" t="s">
        <v>338</v>
      </c>
      <c r="C139" s="196"/>
      <c r="D139" s="196"/>
      <c r="E139" s="9"/>
      <c r="F139" s="9"/>
    </row>
    <row r="140" spans="1:6" ht="12.75" customHeight="1" x14ac:dyDescent="0.25">
      <c r="A140" s="193"/>
      <c r="B140" s="196" t="s">
        <v>339</v>
      </c>
      <c r="C140" s="196"/>
      <c r="D140" s="196"/>
      <c r="E140" s="9"/>
      <c r="F140" s="9"/>
    </row>
    <row r="141" spans="1:6" ht="12.75" customHeight="1" x14ac:dyDescent="0.25">
      <c r="A141" s="193"/>
      <c r="B141" s="196" t="s">
        <v>337</v>
      </c>
      <c r="C141" s="196"/>
      <c r="D141" s="196"/>
      <c r="E141" s="9"/>
      <c r="F141" s="9"/>
    </row>
    <row r="142" spans="1:6" ht="8.1" customHeight="1" x14ac:dyDescent="0.25">
      <c r="A142" s="193"/>
      <c r="B142" s="196"/>
      <c r="C142" s="196"/>
      <c r="D142" s="196"/>
      <c r="E142" s="9"/>
      <c r="F142" s="9"/>
    </row>
    <row r="143" spans="1:6" ht="12.75" customHeight="1" x14ac:dyDescent="0.25">
      <c r="A143" s="191" t="s">
        <v>276</v>
      </c>
      <c r="B143" s="196" t="s">
        <v>304</v>
      </c>
      <c r="C143" s="196"/>
      <c r="D143" s="196"/>
      <c r="E143" s="9"/>
      <c r="F143" s="9"/>
    </row>
    <row r="144" spans="1:6" ht="12.75" customHeight="1" x14ac:dyDescent="0.25">
      <c r="A144" s="193"/>
      <c r="B144" s="196" t="s">
        <v>329</v>
      </c>
      <c r="C144" s="196"/>
      <c r="D144" s="196"/>
      <c r="E144" s="9"/>
      <c r="F144" s="9"/>
    </row>
    <row r="145" spans="1:6" ht="12.75" customHeight="1" x14ac:dyDescent="0.25">
      <c r="A145" s="193"/>
      <c r="B145" s="196" t="s">
        <v>305</v>
      </c>
      <c r="C145" s="196"/>
      <c r="D145" s="196"/>
      <c r="E145" s="9"/>
      <c r="F145" s="9"/>
    </row>
    <row r="146" spans="1:6" ht="12.75" customHeight="1" x14ac:dyDescent="0.25">
      <c r="A146" s="193"/>
      <c r="B146" s="196" t="s">
        <v>306</v>
      </c>
      <c r="C146" s="196"/>
      <c r="D146" s="196"/>
      <c r="E146" s="9"/>
      <c r="F146" s="9"/>
    </row>
    <row r="147" spans="1:6" ht="12.75" customHeight="1" x14ac:dyDescent="0.25">
      <c r="A147" s="193"/>
      <c r="B147" s="196" t="s">
        <v>307</v>
      </c>
      <c r="C147" s="196"/>
      <c r="D147" s="196"/>
      <c r="E147" s="9"/>
      <c r="F147" s="9"/>
    </row>
    <row r="148" spans="1:6" ht="12.75" customHeight="1" x14ac:dyDescent="0.25">
      <c r="A148" s="193"/>
      <c r="B148" s="196" t="s">
        <v>707</v>
      </c>
      <c r="C148" s="196"/>
      <c r="D148" s="196"/>
      <c r="E148" s="9"/>
      <c r="F148" s="9"/>
    </row>
    <row r="149" spans="1:6" ht="8.1" customHeight="1" x14ac:dyDescent="0.25">
      <c r="A149" s="193"/>
      <c r="B149" s="196"/>
      <c r="C149" s="196"/>
      <c r="D149" s="196"/>
      <c r="E149" s="9"/>
      <c r="F149" s="9"/>
    </row>
    <row r="150" spans="1:6" ht="12.75" customHeight="1" x14ac:dyDescent="0.25">
      <c r="A150" s="191" t="s">
        <v>278</v>
      </c>
      <c r="B150" s="196" t="s">
        <v>210</v>
      </c>
      <c r="C150" s="196"/>
      <c r="D150" s="196"/>
      <c r="E150" s="9"/>
      <c r="F150" s="9"/>
    </row>
    <row r="151" spans="1:6" ht="12.75" customHeight="1" x14ac:dyDescent="0.25">
      <c r="A151" s="193"/>
      <c r="B151" s="196" t="s">
        <v>335</v>
      </c>
      <c r="C151" s="196"/>
      <c r="D151" s="196"/>
      <c r="E151" s="9"/>
      <c r="F151" s="9"/>
    </row>
    <row r="152" spans="1:6" ht="12.75" customHeight="1" x14ac:dyDescent="0.25">
      <c r="A152" s="193"/>
      <c r="B152" s="196" t="s">
        <v>340</v>
      </c>
      <c r="C152" s="196"/>
      <c r="D152" s="196"/>
      <c r="E152" s="9"/>
      <c r="F152" s="9"/>
    </row>
    <row r="153" spans="1:6" ht="12.75" customHeight="1" x14ac:dyDescent="0.25">
      <c r="A153" s="193"/>
      <c r="B153" s="196" t="s">
        <v>1225</v>
      </c>
      <c r="C153" s="196"/>
      <c r="D153" s="196"/>
      <c r="E153" s="9"/>
      <c r="F153" s="9"/>
    </row>
    <row r="154" spans="1:6" ht="6.75" customHeight="1" x14ac:dyDescent="0.25">
      <c r="A154" s="193"/>
      <c r="B154" s="196"/>
      <c r="C154" s="196"/>
      <c r="D154" s="196"/>
      <c r="E154" s="9"/>
      <c r="F154" s="9"/>
    </row>
    <row r="155" spans="1:6" x14ac:dyDescent="0.25">
      <c r="A155" s="191" t="s">
        <v>295</v>
      </c>
      <c r="B155" s="196" t="s">
        <v>330</v>
      </c>
      <c r="C155" s="196"/>
      <c r="D155" s="196"/>
      <c r="E155" s="9"/>
      <c r="F155" s="9"/>
    </row>
    <row r="156" spans="1:6" x14ac:dyDescent="0.25">
      <c r="A156" s="192"/>
      <c r="B156" s="196" t="s">
        <v>331</v>
      </c>
      <c r="C156" s="196"/>
      <c r="D156" s="196"/>
      <c r="E156" s="636"/>
      <c r="F156" s="9"/>
    </row>
    <row r="157" spans="1:6" x14ac:dyDescent="0.25">
      <c r="A157" s="193"/>
      <c r="B157" s="196" t="s">
        <v>708</v>
      </c>
      <c r="C157" s="196"/>
      <c r="D157" s="196"/>
      <c r="E157" s="9"/>
      <c r="F157" s="9"/>
    </row>
    <row r="158" spans="1:6" x14ac:dyDescent="0.25">
      <c r="A158" s="193"/>
      <c r="B158" s="196" t="s">
        <v>332</v>
      </c>
      <c r="C158" s="196"/>
      <c r="D158" s="196"/>
      <c r="E158" s="9"/>
      <c r="F158" s="9"/>
    </row>
    <row r="159" spans="1:6" x14ac:dyDescent="0.25">
      <c r="A159" s="193"/>
      <c r="B159" s="196" t="s">
        <v>709</v>
      </c>
      <c r="C159" s="196"/>
      <c r="D159" s="196"/>
      <c r="E159" s="9"/>
      <c r="F159" s="9"/>
    </row>
    <row r="160" spans="1:6" x14ac:dyDescent="0.25">
      <c r="A160" s="193"/>
      <c r="B160" s="196" t="s">
        <v>710</v>
      </c>
      <c r="C160" s="196"/>
      <c r="D160" s="196"/>
      <c r="E160" s="9"/>
      <c r="F160" s="9"/>
    </row>
    <row r="161" spans="1:6" x14ac:dyDescent="0.25">
      <c r="A161" s="193"/>
      <c r="B161" s="196" t="s">
        <v>303</v>
      </c>
      <c r="C161" s="196"/>
      <c r="D161" s="196"/>
      <c r="E161" s="9"/>
      <c r="F161" s="9"/>
    </row>
    <row r="162" spans="1:6" ht="8.1" customHeight="1" x14ac:dyDescent="0.25">
      <c r="A162" s="6"/>
    </row>
    <row r="163" spans="1:6" x14ac:dyDescent="0.25">
      <c r="A163" s="191" t="s">
        <v>598</v>
      </c>
      <c r="B163" s="196" t="s">
        <v>606</v>
      </c>
      <c r="C163" s="196"/>
      <c r="D163" s="196"/>
      <c r="E163" s="9"/>
      <c r="F163" s="9"/>
    </row>
    <row r="164" spans="1:6" x14ac:dyDescent="0.25">
      <c r="B164" s="196" t="s">
        <v>600</v>
      </c>
    </row>
    <row r="165" spans="1:6" x14ac:dyDescent="0.25">
      <c r="B165" s="196" t="s">
        <v>599</v>
      </c>
    </row>
    <row r="166" spans="1:6" x14ac:dyDescent="0.25">
      <c r="B166" s="196" t="s">
        <v>1381</v>
      </c>
    </row>
  </sheetData>
  <sheetProtection algorithmName="SHA-512" hashValue="VUJMTAVeZXKnt+VvxFJCGnRRoOe+dYYogJjxk8gBM0S9Blf2IZiz5ayjTpIQF8x/zI6BTQkvVE3KWvXpiMPRPg==" saltValue="5ZAhQF82JWXpNastw7GEXA==" spinCount="100000" sheet="1" objects="1" scenarios="1" autoFilter="0"/>
  <mergeCells count="81">
    <mergeCell ref="B20:E20"/>
    <mergeCell ref="B36:E36"/>
    <mergeCell ref="B40:E40"/>
    <mergeCell ref="B41:E41"/>
    <mergeCell ref="B24:E24"/>
    <mergeCell ref="B26:E26"/>
    <mergeCell ref="B27:E27"/>
    <mergeCell ref="B28:E28"/>
    <mergeCell ref="B25:E25"/>
    <mergeCell ref="B15:E15"/>
    <mergeCell ref="B14:E14"/>
    <mergeCell ref="B19:E19"/>
    <mergeCell ref="B16:E16"/>
    <mergeCell ref="B18:E18"/>
    <mergeCell ref="A1:G1"/>
    <mergeCell ref="B42:E42"/>
    <mergeCell ref="B32:E32"/>
    <mergeCell ref="B33:E33"/>
    <mergeCell ref="B34:E34"/>
    <mergeCell ref="B35:E35"/>
    <mergeCell ref="A2:G2"/>
    <mergeCell ref="A3:G3"/>
    <mergeCell ref="A10:E10"/>
    <mergeCell ref="F5:G5"/>
    <mergeCell ref="C6:D6"/>
    <mergeCell ref="F6:G6"/>
    <mergeCell ref="F7:G7"/>
    <mergeCell ref="C5:D5"/>
    <mergeCell ref="B17:E17"/>
    <mergeCell ref="B13:E13"/>
    <mergeCell ref="B50:E50"/>
    <mergeCell ref="B54:E54"/>
    <mergeCell ref="B55:E55"/>
    <mergeCell ref="B56:E56"/>
    <mergeCell ref="B43:E43"/>
    <mergeCell ref="B47:E47"/>
    <mergeCell ref="B48:E48"/>
    <mergeCell ref="B49:E49"/>
    <mergeCell ref="B69:E69"/>
    <mergeCell ref="B70:E70"/>
    <mergeCell ref="B79:E79"/>
    <mergeCell ref="B80:E80"/>
    <mergeCell ref="B81:E81"/>
    <mergeCell ref="B72:E72"/>
    <mergeCell ref="B74:E74"/>
    <mergeCell ref="B75:E75"/>
    <mergeCell ref="B71:E71"/>
    <mergeCell ref="B73:E73"/>
    <mergeCell ref="B60:E60"/>
    <mergeCell ref="B61:E61"/>
    <mergeCell ref="B62:E62"/>
    <mergeCell ref="B66:E66"/>
    <mergeCell ref="B68:E68"/>
    <mergeCell ref="B67:E67"/>
    <mergeCell ref="B129:E129"/>
    <mergeCell ref="B120:E120"/>
    <mergeCell ref="B121:E121"/>
    <mergeCell ref="B122:E122"/>
    <mergeCell ref="B123:E123"/>
    <mergeCell ref="B126:E126"/>
    <mergeCell ref="B127:E127"/>
    <mergeCell ref="B128:E128"/>
    <mergeCell ref="B97:E97"/>
    <mergeCell ref="B93:E93"/>
    <mergeCell ref="B85:E85"/>
    <mergeCell ref="B86:E86"/>
    <mergeCell ref="B87:E87"/>
    <mergeCell ref="J122:M122"/>
    <mergeCell ref="B100:E100"/>
    <mergeCell ref="B101:E101"/>
    <mergeCell ref="B112:E112"/>
    <mergeCell ref="B113:E113"/>
    <mergeCell ref="B102:E102"/>
    <mergeCell ref="B106:E106"/>
    <mergeCell ref="B114:E114"/>
    <mergeCell ref="B115:E115"/>
    <mergeCell ref="B116:E116"/>
    <mergeCell ref="B119:E119"/>
    <mergeCell ref="B107:E107"/>
    <mergeCell ref="B108:E108"/>
    <mergeCell ref="B110:E110"/>
  </mergeCells>
  <phoneticPr fontId="0" type="noConversion"/>
  <conditionalFormatting sqref="F103 F94:F95 F63 F21 F29 F37 F44 F51 F57 F76:F77 F90">
    <cfRule type="cellIs" dxfId="44" priority="2" stopIfTrue="1" operator="equal">
      <formula>"ERROR"</formula>
    </cfRule>
  </conditionalFormatting>
  <conditionalFormatting sqref="H1:H3">
    <cfRule type="cellIs" dxfId="43" priority="3" stopIfTrue="1" operator="equal">
      <formula>"na"</formula>
    </cfRule>
  </conditionalFormatting>
  <conditionalFormatting sqref="F82:F84 F88:F89">
    <cfRule type="cellIs" dxfId="42" priority="1" stopIfTrue="1" operator="equal">
      <formula>"ERROR"</formula>
    </cfRule>
  </conditionalFormatting>
  <dataValidations disablePrompts="1" count="1">
    <dataValidation type="textLength" operator="equal" allowBlank="1" showInputMessage="1" showErrorMessage="1" errorTitle="Invalid data!" error="GASB number must be 4 digits." sqref="D7" xr:uid="{00000000-0002-0000-0400-000000000000}">
      <formula1>4</formula1>
    </dataValidation>
  </dataValidations>
  <hyperlinks>
    <hyperlink ref="A1:G1" location="Index!A1" display="Index!A1" xr:uid="{00000000-0004-0000-0400-000000000000}"/>
  </hyperlinks>
  <pageMargins left="0.95" right="0.45" top="0.5" bottom="0.5" header="0.3" footer="0.3"/>
  <pageSetup scale="89" orientation="portrait" r:id="rId1"/>
  <headerFooter>
    <oddFooter>&amp;R&amp;A</oddFooter>
  </headerFooter>
  <rowBreaks count="2" manualBreakCount="2">
    <brk id="58" max="6" man="1"/>
    <brk id="129" max="6" man="1"/>
  </rowBreaks>
  <ignoredErrors>
    <ignoredError sqref="A133" numberStoredAsText="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Q121"/>
  <sheetViews>
    <sheetView showGridLines="0" zoomScaleNormal="100" workbookViewId="0">
      <selection activeCell="A4" sqref="A4:H4"/>
    </sheetView>
  </sheetViews>
  <sheetFormatPr defaultRowHeight="13.2" x14ac:dyDescent="0.25"/>
  <cols>
    <col min="1" max="1" width="3.5546875" customWidth="1"/>
    <col min="2" max="2" width="8.5546875" customWidth="1"/>
    <col min="3" max="3" width="6.44140625" customWidth="1"/>
    <col min="4" max="4" width="28.5546875" customWidth="1"/>
    <col min="5" max="5" width="10.5546875" customWidth="1"/>
    <col min="6" max="6" width="20.5546875" customWidth="1"/>
    <col min="7" max="7" width="13.88671875" customWidth="1"/>
    <col min="8" max="8" width="4.5546875" customWidth="1"/>
    <col min="12" max="12" width="23.33203125" style="6" bestFit="1" customWidth="1"/>
    <col min="15" max="15" width="12.109375" bestFit="1" customWidth="1"/>
  </cols>
  <sheetData>
    <row r="1" spans="1:17" ht="25.2" customHeight="1" x14ac:dyDescent="0.3">
      <c r="A1" s="854" t="str">
        <f>+Index!$A$1</f>
        <v>Office of the State Controller</v>
      </c>
      <c r="B1" s="854"/>
      <c r="C1" s="854"/>
      <c r="D1" s="854"/>
      <c r="E1" s="854"/>
      <c r="F1" s="854"/>
      <c r="G1" s="854"/>
      <c r="H1" s="808" t="str">
        <f>IF(Index!$B$45="na","NA","")</f>
        <v/>
      </c>
      <c r="O1" s="735" t="s">
        <v>1287</v>
      </c>
      <c r="P1" s="735" t="str">
        <f>IFERROR(VLOOKUP(C5,FCCSent,2,FALSE),"")</f>
        <v>26110G</v>
      </c>
      <c r="Q1" s="729" t="s">
        <v>1288</v>
      </c>
    </row>
    <row r="2" spans="1:17" ht="16.5" customHeight="1" x14ac:dyDescent="0.3">
      <c r="A2" s="855" t="str">
        <f>+Index!$A$2</f>
        <v>2022 ACFR Worksheets for Nonmajor Component Units</v>
      </c>
      <c r="B2" s="855"/>
      <c r="C2" s="855"/>
      <c r="D2" s="855"/>
      <c r="E2" s="855"/>
      <c r="F2" s="855"/>
      <c r="G2" s="855"/>
      <c r="H2" s="808"/>
      <c r="O2" s="735" t="s">
        <v>1289</v>
      </c>
      <c r="P2" s="735" t="str">
        <f>VLOOKUP(C5,FCCSNum,2,FALSE)</f>
        <v>0A00</v>
      </c>
      <c r="Q2" s="729" t="s">
        <v>1290</v>
      </c>
    </row>
    <row r="3" spans="1:17" s="723" customFormat="1" ht="16.5" customHeight="1" x14ac:dyDescent="0.25">
      <c r="A3" s="855" t="s">
        <v>1578</v>
      </c>
      <c r="B3" s="855"/>
      <c r="C3" s="855"/>
      <c r="D3" s="855"/>
      <c r="E3" s="855"/>
      <c r="F3" s="855"/>
      <c r="G3" s="855"/>
      <c r="H3" s="808"/>
      <c r="L3" s="6"/>
    </row>
    <row r="4" spans="1:17" ht="16.5" customHeight="1" x14ac:dyDescent="0.25">
      <c r="A4" s="888" t="s">
        <v>609</v>
      </c>
      <c r="B4" s="889"/>
      <c r="C4" s="889"/>
      <c r="D4" s="889"/>
      <c r="E4" s="889"/>
      <c r="F4" s="889"/>
      <c r="G4" s="889"/>
      <c r="H4" s="892"/>
    </row>
    <row r="5" spans="1:17" ht="16.5" customHeight="1" x14ac:dyDescent="0.25">
      <c r="A5" s="166" t="s">
        <v>357</v>
      </c>
      <c r="B5" s="117"/>
      <c r="C5" s="856" t="str">
        <f>Index!D10</f>
        <v>0A</v>
      </c>
      <c r="D5" s="857"/>
      <c r="E5" s="167" t="s">
        <v>180</v>
      </c>
      <c r="F5" s="877">
        <f>+Index!D14</f>
        <v>0</v>
      </c>
      <c r="G5" s="877"/>
      <c r="H5" s="117"/>
    </row>
    <row r="6" spans="1:17" ht="16.5" customHeight="1" x14ac:dyDescent="0.25">
      <c r="A6" s="166" t="s">
        <v>358</v>
      </c>
      <c r="B6" s="117"/>
      <c r="C6" s="856" t="str">
        <f>Index!D11</f>
        <v>NC Housing Finance Agency</v>
      </c>
      <c r="D6" s="857"/>
      <c r="E6" s="167" t="s">
        <v>181</v>
      </c>
      <c r="F6" s="877">
        <f>+Index!D16</f>
        <v>0</v>
      </c>
      <c r="G6" s="877"/>
      <c r="H6" s="117"/>
    </row>
    <row r="7" spans="1:17" ht="16.5" customHeight="1" x14ac:dyDescent="0.25">
      <c r="A7" s="166" t="s">
        <v>20</v>
      </c>
      <c r="B7" s="117"/>
      <c r="C7" s="168">
        <f>+Index!D13</f>
        <v>2611</v>
      </c>
      <c r="D7" s="164"/>
      <c r="E7" s="167" t="s">
        <v>196</v>
      </c>
      <c r="F7" s="877">
        <f>+Index!D15</f>
        <v>0</v>
      </c>
      <c r="G7" s="877"/>
      <c r="H7" s="117"/>
    </row>
    <row r="8" spans="1:17" ht="14.1" customHeight="1" thickBot="1" x14ac:dyDescent="0.3">
      <c r="A8" s="182"/>
      <c r="B8" s="122"/>
      <c r="C8" s="122"/>
      <c r="D8" s="122"/>
      <c r="E8" s="122"/>
      <c r="F8" s="122"/>
      <c r="G8" s="170"/>
      <c r="H8" s="182"/>
    </row>
    <row r="9" spans="1:17" ht="15.9" customHeight="1" x14ac:dyDescent="0.25">
      <c r="A9" s="888" t="s">
        <v>640</v>
      </c>
      <c r="B9" s="889"/>
      <c r="C9" s="889"/>
      <c r="D9" s="889"/>
      <c r="E9" s="889"/>
      <c r="F9" s="889"/>
      <c r="G9" s="889"/>
      <c r="H9" s="890"/>
    </row>
    <row r="10" spans="1:17" ht="15.9" customHeight="1" x14ac:dyDescent="0.25">
      <c r="A10" s="891"/>
      <c r="B10" s="891"/>
      <c r="C10" s="891"/>
      <c r="D10" s="891"/>
      <c r="E10" s="891"/>
      <c r="F10" s="891"/>
      <c r="G10" s="891"/>
      <c r="H10" s="508"/>
      <c r="I10" s="125"/>
      <c r="J10" s="125"/>
      <c r="K10" s="125"/>
      <c r="L10" s="730"/>
      <c r="M10" s="125"/>
      <c r="N10" s="125"/>
    </row>
    <row r="11" spans="1:17" ht="12.75" customHeight="1" x14ac:dyDescent="0.25">
      <c r="A11" s="858" t="s">
        <v>682</v>
      </c>
      <c r="B11" s="858"/>
      <c r="C11" s="858"/>
      <c r="D11" s="858"/>
      <c r="E11" s="858"/>
      <c r="F11" s="190" t="str">
        <f>TEXT(Data!$A$2,"mmmm d,yyyy")</f>
        <v>June 30,2022</v>
      </c>
    </row>
    <row r="12" spans="1:17" x14ac:dyDescent="0.25">
      <c r="B12" s="270" t="s">
        <v>260</v>
      </c>
      <c r="C12" s="1"/>
      <c r="D12" s="1"/>
    </row>
    <row r="13" spans="1:17" x14ac:dyDescent="0.25">
      <c r="A13" s="271">
        <v>100</v>
      </c>
      <c r="B13" s="848" t="s">
        <v>236</v>
      </c>
      <c r="C13" s="848"/>
      <c r="D13" s="848"/>
      <c r="E13" s="848"/>
      <c r="F13" s="337">
        <f ca="1">IF(Index!$D$12="GASB",SUMIF(aGASB,A13,bGASB),SUMIF(aFASB,A13,bFASB)+SUMIF(aFASBADJ,A13,bFASBADJ))</f>
        <v>0</v>
      </c>
      <c r="G13" s="4"/>
      <c r="L13" s="731">
        <v>11111000</v>
      </c>
    </row>
    <row r="14" spans="1:17" x14ac:dyDescent="0.25">
      <c r="A14" s="271">
        <v>110</v>
      </c>
      <c r="B14" s="848" t="s">
        <v>237</v>
      </c>
      <c r="C14" s="848"/>
      <c r="D14" s="848"/>
      <c r="E14" s="848"/>
      <c r="F14" s="145">
        <f ca="1">IF(Index!$D$12="GASB",SUMIF(aGASB,A14,bGASB),SUMIF(aFASB,A14,bFASB)+SUMIF(aFASBADJ,A14,bFASBADJ))</f>
        <v>0</v>
      </c>
      <c r="G14" s="4"/>
      <c r="L14" s="731">
        <v>11210100</v>
      </c>
    </row>
    <row r="15" spans="1:17" x14ac:dyDescent="0.25">
      <c r="A15" s="271">
        <v>124</v>
      </c>
      <c r="B15" s="848" t="s">
        <v>257</v>
      </c>
      <c r="C15" s="848"/>
      <c r="D15" s="848"/>
      <c r="E15" s="848"/>
      <c r="F15" s="145">
        <f ca="1">IF(Index!$D$12="GASB",SUMIF(aGASB,A15,bGASB),SUMIF(aFASB,A15,bFASB)+SUMIF(aFASBADJ,A15,bFASBADJ))</f>
        <v>0</v>
      </c>
      <c r="G15" s="4"/>
      <c r="L15" s="731">
        <v>11320000</v>
      </c>
    </row>
    <row r="16" spans="1:17" x14ac:dyDescent="0.25">
      <c r="A16" s="271">
        <v>122</v>
      </c>
      <c r="B16" s="848" t="s">
        <v>628</v>
      </c>
      <c r="C16" s="848"/>
      <c r="D16" s="848"/>
      <c r="E16" s="848"/>
      <c r="F16" s="145">
        <f ca="1">IF(Index!$D$12="GASB",SUMIF(aGASB,A16,bGASB),SUMIF(aFASB,A16,bFASB)+SUMIF(aFASBADJ,A16,bFASBADJ))</f>
        <v>0</v>
      </c>
      <c r="G16" s="351" t="str">
        <f ca="1">IF(F16=0," ",IF(F16='525'!H24," ","Problem: Amount must agree to total per worksheeet 525"))</f>
        <v xml:space="preserve"> </v>
      </c>
      <c r="L16" s="732">
        <v>11470000</v>
      </c>
    </row>
    <row r="17" spans="1:12" x14ac:dyDescent="0.25">
      <c r="A17" s="271">
        <v>120</v>
      </c>
      <c r="B17" s="848" t="s">
        <v>629</v>
      </c>
      <c r="C17" s="848"/>
      <c r="D17" s="848"/>
      <c r="E17" s="848"/>
      <c r="F17" s="145"/>
      <c r="G17" s="351" t="str">
        <f>IF(AND(F17&gt;=1,F17&lt;1000000),"Problem: Under $1 mill threshold-reclassify to A/R"," ")</f>
        <v xml:space="preserve"> </v>
      </c>
      <c r="L17" s="732">
        <v>11460000</v>
      </c>
    </row>
    <row r="18" spans="1:12" s="741" customFormat="1" x14ac:dyDescent="0.25">
      <c r="A18" s="271">
        <v>126</v>
      </c>
      <c r="B18" s="851" t="s">
        <v>1350</v>
      </c>
      <c r="C18" s="851"/>
      <c r="D18" s="851"/>
      <c r="E18" s="851"/>
      <c r="F18" s="145">
        <f ca="1">IF(Index!$D$12="GASB",SUMIF(aGASB,A18,bGASB),SUMIF(aFASB,A18,bFASB)+SUMIF(aFASBADJ,A18,bFASBADJ))</f>
        <v>0</v>
      </c>
      <c r="G18" s="351"/>
      <c r="I18" s="639"/>
      <c r="L18" s="732">
        <v>11450100</v>
      </c>
    </row>
    <row r="19" spans="1:12" x14ac:dyDescent="0.25">
      <c r="A19" s="271">
        <v>130</v>
      </c>
      <c r="B19" s="848" t="s">
        <v>258</v>
      </c>
      <c r="C19" s="848"/>
      <c r="D19" s="848"/>
      <c r="E19" s="848"/>
      <c r="F19" s="145">
        <f ca="1">IF(Index!$D$12="GASB",SUMIF(aGASB,A19,bGASB),SUMIF(aFASB,A19,bFASB)+SUMIF(aFASBADJ,A19,bFASBADJ))</f>
        <v>0</v>
      </c>
      <c r="G19" s="4"/>
      <c r="L19" s="731">
        <v>11611000</v>
      </c>
    </row>
    <row r="20" spans="1:12" x14ac:dyDescent="0.25">
      <c r="A20" s="271">
        <v>140</v>
      </c>
      <c r="B20" s="848" t="s">
        <v>268</v>
      </c>
      <c r="C20" s="848"/>
      <c r="D20" s="848"/>
      <c r="E20" s="848"/>
      <c r="F20" s="145">
        <f ca="1">IF(Index!$D$12="GASB",SUMIF(aGASB,A20,bGASB),SUMIF(aFASB,A20,bFASB)+SUMIF(aFASBADJ,A20,bFASBADJ))</f>
        <v>0</v>
      </c>
      <c r="G20" s="4"/>
      <c r="L20" s="731">
        <v>11910000</v>
      </c>
    </row>
    <row r="21" spans="1:12" x14ac:dyDescent="0.25">
      <c r="A21" s="271">
        <v>154</v>
      </c>
      <c r="B21" s="848" t="s">
        <v>259</v>
      </c>
      <c r="C21" s="848"/>
      <c r="D21" s="848"/>
      <c r="E21" s="848"/>
      <c r="F21" s="145">
        <f ca="1">IF(Index!$D$12="GASB",SUMIF(aGASB,A21,bGASB),SUMIF(aFASB,A21,bFASB)+SUMIF(aFASBADJ,A21,bFASBADJ))</f>
        <v>0</v>
      </c>
      <c r="G21" s="4"/>
      <c r="L21" s="731">
        <v>11510000</v>
      </c>
    </row>
    <row r="22" spans="1:12" s="784" customFormat="1" x14ac:dyDescent="0.25">
      <c r="A22" s="271">
        <v>155</v>
      </c>
      <c r="B22" s="862" t="s">
        <v>1416</v>
      </c>
      <c r="C22" s="862"/>
      <c r="D22" s="862"/>
      <c r="E22" s="862"/>
      <c r="F22" s="145">
        <f ca="1">IF(Index!$D$12="GASB",SUMIF(aGASB,A22,bGASB),SUMIF(aFASB,A22,bFASB)+SUMIF(aFASBADJ,A22,bFASBADJ))</f>
        <v>0</v>
      </c>
      <c r="G22" s="4"/>
      <c r="H22" s="650" t="s">
        <v>1410</v>
      </c>
      <c r="L22" s="731">
        <v>11530000</v>
      </c>
    </row>
    <row r="23" spans="1:12" x14ac:dyDescent="0.25">
      <c r="A23" s="698">
        <v>158</v>
      </c>
      <c r="B23" s="851" t="s">
        <v>991</v>
      </c>
      <c r="C23" s="851"/>
      <c r="D23" s="851"/>
      <c r="E23" s="851"/>
      <c r="F23" s="699">
        <f ca="1">IF(Index!$D$12="GASB",SUMIF(aGASB,A23,bGASB),SUMIF(aFASB,A23,bFASB)+SUMIF(aFASBADJ,A23,bFASBADJ))</f>
        <v>0</v>
      </c>
      <c r="G23" s="4"/>
      <c r="L23" s="731" t="s">
        <v>1291</v>
      </c>
    </row>
    <row r="24" spans="1:12" x14ac:dyDescent="0.25">
      <c r="A24" s="698">
        <v>159</v>
      </c>
      <c r="B24" s="852" t="s">
        <v>1110</v>
      </c>
      <c r="C24" s="852"/>
      <c r="D24" s="852"/>
      <c r="E24" s="852"/>
      <c r="F24" s="699">
        <f ca="1">IF(Index!$D$12="GASB",SUMIF(aGASB,A24,bGASB),SUMIF(aFASB,A24,bFASB)+SUMIF(aFASBADJ,A24,bFASBADJ))</f>
        <v>0</v>
      </c>
      <c r="G24" s="558"/>
      <c r="I24" s="558"/>
      <c r="L24" s="731">
        <v>11978000</v>
      </c>
    </row>
    <row r="25" spans="1:12" x14ac:dyDescent="0.25">
      <c r="A25" s="271">
        <v>160</v>
      </c>
      <c r="B25" s="848" t="s">
        <v>341</v>
      </c>
      <c r="C25" s="848"/>
      <c r="D25" s="848"/>
      <c r="E25" s="848"/>
      <c r="F25" s="145">
        <f ca="1">IF(Index!$D$12="GASB",SUMIF(aGASB,A25,bGASB),SUMIF(aFASB,A25,bFASB)+SUMIF(aFASBADJ,A25,bFASBADJ))</f>
        <v>0</v>
      </c>
      <c r="G25" s="4"/>
      <c r="L25" s="731" t="s">
        <v>1292</v>
      </c>
    </row>
    <row r="26" spans="1:12" x14ac:dyDescent="0.25">
      <c r="A26" s="271">
        <v>162</v>
      </c>
      <c r="B26" s="848" t="s">
        <v>120</v>
      </c>
      <c r="C26" s="848"/>
      <c r="D26" s="848"/>
      <c r="E26" s="848"/>
      <c r="F26" s="145">
        <f ca="1">IF(Index!$D$12="GASB",SUMIF(aGASB,A26,bGASB),SUMIF(aFASB,A26,bFASB)+SUMIF(aFASBADJ,A26,bFASBADJ))</f>
        <v>0</v>
      </c>
      <c r="G26" s="4"/>
      <c r="L26" s="731">
        <v>11212500</v>
      </c>
    </row>
    <row r="27" spans="1:12" x14ac:dyDescent="0.25">
      <c r="A27" s="271">
        <v>163</v>
      </c>
      <c r="B27" s="848" t="s">
        <v>630</v>
      </c>
      <c r="C27" s="848"/>
      <c r="D27" s="848"/>
      <c r="E27" s="848"/>
      <c r="F27" s="145">
        <f ca="1">IF(Index!$D$12="GASB",SUMIF(aGASB,A27,bGASB),SUMIF(aFASB,A27,bFASB)+SUMIF(aFASBADJ,A27,bFASBADJ))</f>
        <v>0</v>
      </c>
      <c r="G27" s="351" t="str">
        <f ca="1">IF(F27=0," ",IF(F27='525'!H33," ","Problem: Amount must agree to total Restr Due frm State of NC Comp unit per worksheeet 525"))</f>
        <v xml:space="preserve"> </v>
      </c>
      <c r="L27" s="732">
        <v>12420000</v>
      </c>
    </row>
    <row r="28" spans="1:12" x14ac:dyDescent="0.25">
      <c r="A28" s="271">
        <v>164</v>
      </c>
      <c r="B28" s="848" t="s">
        <v>631</v>
      </c>
      <c r="C28" s="848"/>
      <c r="D28" s="848"/>
      <c r="E28" s="848"/>
      <c r="F28" s="145">
        <f ca="1">IF(Index!$D$12="GASB",SUMIF(aGASB,A28,bGASB),SUMIF(aFASB,A28,bFASB)+SUMIF(aFASBADJ,A28,bFASBADJ))</f>
        <v>0</v>
      </c>
      <c r="G28" s="351" t="str">
        <f ca="1">IF(F28=0," ",IF(F28='515'!H32," ","Problem: Amount must agree to total Restr Due from Prim Gov per worksheeet 515"))</f>
        <v xml:space="preserve"> </v>
      </c>
      <c r="L28" s="732">
        <v>12410000</v>
      </c>
    </row>
    <row r="29" spans="1:12" x14ac:dyDescent="0.25">
      <c r="A29" s="327">
        <v>165</v>
      </c>
      <c r="B29" s="874" t="s">
        <v>624</v>
      </c>
      <c r="C29" s="874"/>
      <c r="D29" s="874"/>
      <c r="E29" s="874"/>
      <c r="F29" s="145">
        <f ca="1">IF(Index!$D$12="GASB",SUMIF(aGASB,A29,bGASB),SUMIF(aFASB,A29,bFASB)+SUMIF(aFASBADJ,A29,bFASBADJ))</f>
        <v>0</v>
      </c>
      <c r="G29" s="4"/>
      <c r="L29" s="731">
        <v>11970000</v>
      </c>
    </row>
    <row r="30" spans="1:12" x14ac:dyDescent="0.25">
      <c r="A30" s="271">
        <v>167</v>
      </c>
      <c r="B30" s="848" t="s">
        <v>1111</v>
      </c>
      <c r="C30" s="848"/>
      <c r="D30" s="848"/>
      <c r="E30" s="848"/>
      <c r="F30" s="145">
        <f ca="1">IF(Index!$D$12="GASB",SUMIF(aGASB,A30,bGASB),SUMIF(aFASB,A30,bFASB)+SUMIF(aFASBADJ,A30,bFASBADJ))</f>
        <v>0</v>
      </c>
      <c r="G30" s="558"/>
      <c r="I30" s="558"/>
      <c r="L30" s="731">
        <v>11491000</v>
      </c>
    </row>
    <row r="31" spans="1:12" x14ac:dyDescent="0.25">
      <c r="A31" s="271">
        <v>170</v>
      </c>
      <c r="B31" s="848" t="s">
        <v>269</v>
      </c>
      <c r="C31" s="848"/>
      <c r="D31" s="848"/>
      <c r="E31" s="848"/>
      <c r="F31" s="145">
        <f ca="1">IF(Index!$D$12="GASB",SUMIF(aGASB,A31,bGASB),SUMIF(aFASB,A31,bFASB)+SUMIF(aFASBADJ,A31,bFASBADJ))</f>
        <v>0</v>
      </c>
      <c r="G31" s="4"/>
      <c r="L31" s="731">
        <v>12700000</v>
      </c>
    </row>
    <row r="32" spans="1:12" x14ac:dyDescent="0.25">
      <c r="A32" s="271">
        <v>171</v>
      </c>
      <c r="B32" s="848" t="s">
        <v>270</v>
      </c>
      <c r="C32" s="848"/>
      <c r="D32" s="848"/>
      <c r="E32" s="848"/>
      <c r="F32" s="145">
        <f ca="1">IF(Index!$D$12="GASB",SUMIF(aGASB,A32,bGASB),SUMIF(aFASB,A32,bFASB)+SUMIF(aFASBADJ,A32,bFASBADJ))</f>
        <v>0</v>
      </c>
      <c r="G32" s="4"/>
      <c r="L32" s="731">
        <v>12710000</v>
      </c>
    </row>
    <row r="33" spans="1:12" x14ac:dyDescent="0.25">
      <c r="A33" s="271"/>
      <c r="B33" s="886" t="s">
        <v>239</v>
      </c>
      <c r="C33" s="886"/>
      <c r="D33" s="886"/>
      <c r="E33" s="886"/>
      <c r="F33" s="316">
        <f ca="1">SUM(F13:F32)</f>
        <v>0</v>
      </c>
      <c r="G33" s="4"/>
    </row>
    <row r="34" spans="1:12" x14ac:dyDescent="0.25">
      <c r="A34" s="271"/>
      <c r="B34" s="373"/>
      <c r="C34" s="373"/>
      <c r="D34" s="373"/>
      <c r="E34" s="373"/>
      <c r="F34" s="145"/>
      <c r="G34" s="4"/>
    </row>
    <row r="35" spans="1:12" x14ac:dyDescent="0.25">
      <c r="A35" s="271"/>
      <c r="B35" s="270" t="s">
        <v>677</v>
      </c>
      <c r="C35" s="1"/>
      <c r="D35" s="1"/>
      <c r="F35" s="145"/>
      <c r="G35" s="4"/>
    </row>
    <row r="36" spans="1:12" x14ac:dyDescent="0.25">
      <c r="A36" s="271">
        <v>190</v>
      </c>
      <c r="B36" s="848" t="s">
        <v>678</v>
      </c>
      <c r="C36" s="848"/>
      <c r="D36" s="848"/>
      <c r="E36" s="848"/>
      <c r="F36" s="145">
        <f ca="1">IF(Index!$D$12="GASB",SUMIF(aGASB,A36,bGASB),SUMIF(aFASB,A36,bFASB)+SUMIF(aFASBADJ,A36,bFASBADJ))</f>
        <v>0</v>
      </c>
      <c r="G36" s="4"/>
      <c r="L36" s="731">
        <v>61100002</v>
      </c>
    </row>
    <row r="37" spans="1:12" x14ac:dyDescent="0.25">
      <c r="A37" s="134">
        <v>193</v>
      </c>
      <c r="B37" s="848" t="s">
        <v>779</v>
      </c>
      <c r="C37" s="848"/>
      <c r="D37" s="848"/>
      <c r="E37" s="848"/>
      <c r="F37" s="145">
        <f ca="1">IF(Index!$D$12="GASB",SUMIF(aGASB,A37,bGASB),SUMIF(aFASB,A37,bFASB)+SUMIF(aFASBADJ,A37,bFASBADJ))</f>
        <v>0</v>
      </c>
      <c r="G37" s="4"/>
      <c r="L37" s="731">
        <v>61100003</v>
      </c>
    </row>
    <row r="38" spans="1:12" s="608" customFormat="1" x14ac:dyDescent="0.25">
      <c r="A38" s="134">
        <v>197</v>
      </c>
      <c r="B38" s="848" t="s">
        <v>1178</v>
      </c>
      <c r="C38" s="848"/>
      <c r="D38" s="848"/>
      <c r="E38" s="848"/>
      <c r="F38" s="145">
        <f ca="1">IF(Index!$D$12="GASB",SUMIF(aGASB,A38,bGASB),SUMIF(aFASB,A38,bFASB)+SUMIF(aFASBADJ,A38,bFASBADJ))</f>
        <v>0</v>
      </c>
      <c r="G38" s="4"/>
      <c r="L38" s="731">
        <v>61100007</v>
      </c>
    </row>
    <row r="39" spans="1:12" x14ac:dyDescent="0.25">
      <c r="A39" s="134">
        <v>194</v>
      </c>
      <c r="B39" s="851" t="s">
        <v>942</v>
      </c>
      <c r="C39" s="851"/>
      <c r="D39" s="851"/>
      <c r="E39" s="851"/>
      <c r="F39" s="145">
        <f ca="1">IF(Index!$D$12="GASB",SUMIF(aGASB,A39,bGASB),SUMIF(aFASB,A39,bFASB)+SUMIF(aFASBADJ,A39,bFASBADJ))</f>
        <v>0</v>
      </c>
      <c r="G39" s="4"/>
      <c r="L39" s="731">
        <v>61100008</v>
      </c>
    </row>
    <row r="40" spans="1:12" x14ac:dyDescent="0.25">
      <c r="A40" s="134">
        <v>195</v>
      </c>
      <c r="B40" s="852" t="s">
        <v>1105</v>
      </c>
      <c r="C40" s="852"/>
      <c r="D40" s="852"/>
      <c r="E40" s="852"/>
      <c r="F40" s="145">
        <f ca="1">IF(Index!$D$12="GASB",SUMIF(aGASB,A40,bGASB),SUMIF(aFASB,A40,bFASB)+SUMIF(aFASBADJ,A40,bFASBADJ))</f>
        <v>0</v>
      </c>
      <c r="G40" s="558"/>
      <c r="I40" s="558"/>
      <c r="L40" s="731">
        <v>61100009</v>
      </c>
    </row>
    <row r="41" spans="1:12" x14ac:dyDescent="0.25">
      <c r="A41" s="134">
        <v>196</v>
      </c>
      <c r="B41" s="851" t="s">
        <v>940</v>
      </c>
      <c r="C41" s="851"/>
      <c r="D41" s="851"/>
      <c r="E41" s="851"/>
      <c r="F41" s="145">
        <f ca="1">IF(Index!$D$12="GASB",SUMIF(aGASB,A41,bGASB),SUMIF(aFASB,A41,bFASB)+SUMIF(aFASBADJ,A41,bFASBADJ))</f>
        <v>0</v>
      </c>
      <c r="G41" s="4"/>
      <c r="L41" s="731">
        <v>61100006</v>
      </c>
    </row>
    <row r="42" spans="1:12" x14ac:dyDescent="0.25">
      <c r="A42" s="271"/>
      <c r="B42" s="886" t="s">
        <v>683</v>
      </c>
      <c r="C42" s="886"/>
      <c r="D42" s="886"/>
      <c r="E42" s="886"/>
      <c r="F42" s="316">
        <f ca="1">SUM(F36:F41)</f>
        <v>0</v>
      </c>
      <c r="G42" s="4"/>
    </row>
    <row r="43" spans="1:12" ht="12.75" customHeight="1" x14ac:dyDescent="0.25"/>
    <row r="44" spans="1:12" x14ac:dyDescent="0.25">
      <c r="A44" s="271"/>
      <c r="B44" s="270" t="s">
        <v>263</v>
      </c>
      <c r="C44" s="1"/>
      <c r="D44" s="1"/>
    </row>
    <row r="45" spans="1:12" x14ac:dyDescent="0.25">
      <c r="A45" s="271">
        <v>204</v>
      </c>
      <c r="B45" s="848" t="s">
        <v>264</v>
      </c>
      <c r="C45" s="848"/>
      <c r="D45" s="848"/>
      <c r="E45" s="848"/>
      <c r="F45" s="145">
        <f ca="1">IF(Index!$D$12="GASB",SUMIF(aGASB,A45,bGASB),SUMIF(aFASB,A45,bFASB)+SUMIF(aFASBADJ,A45,bFASBADJ))</f>
        <v>0</v>
      </c>
      <c r="G45" s="4"/>
      <c r="L45" s="731">
        <v>21110000</v>
      </c>
    </row>
    <row r="46" spans="1:12" x14ac:dyDescent="0.25">
      <c r="A46" s="271">
        <v>210</v>
      </c>
      <c r="B46" s="848" t="s">
        <v>242</v>
      </c>
      <c r="C46" s="848"/>
      <c r="D46" s="848"/>
      <c r="E46" s="848"/>
      <c r="F46" s="145">
        <f ca="1">IF(Index!$D$12="GASB",SUMIF(aGASB,A46,bGASB),SUMIF(aFASB,A46,bFASB)+SUMIF(aFASBADJ,A46,bFASBADJ))</f>
        <v>0</v>
      </c>
      <c r="G46" s="4"/>
      <c r="L46" s="731">
        <v>21621000</v>
      </c>
    </row>
    <row r="47" spans="1:12" x14ac:dyDescent="0.25">
      <c r="A47" s="271">
        <v>212</v>
      </c>
      <c r="B47" s="848" t="s">
        <v>590</v>
      </c>
      <c r="C47" s="848"/>
      <c r="D47" s="848"/>
      <c r="E47" s="848"/>
      <c r="F47" s="145">
        <f ca="1">IF(Index!$D$12="GASB",SUMIF(aGASB,A47,bGASB),SUMIF(aFASB,A47,bFASB)+SUMIF(aFASBADJ,A47,bFASBADJ))</f>
        <v>0</v>
      </c>
      <c r="G47" s="4"/>
      <c r="L47" s="731">
        <v>21910000</v>
      </c>
    </row>
    <row r="48" spans="1:12" x14ac:dyDescent="0.25">
      <c r="A48" s="271">
        <v>202</v>
      </c>
      <c r="B48" s="848" t="s">
        <v>637</v>
      </c>
      <c r="C48" s="848"/>
      <c r="D48" s="848"/>
      <c r="E48" s="848"/>
      <c r="F48" s="145">
        <f ca="1">IF(Index!$D$12="GASB",SUMIF(aGASB,A48,bGASB),SUMIF(aFASB,A48,bFASB)+SUMIF(aFASBADJ,A48,bFASBADJ))</f>
        <v>0</v>
      </c>
      <c r="G48" s="351" t="str">
        <f ca="1">IF(AND(F48&gt;=1,F48&lt;1000000),"Problem: Under $1 mill threshold-reclassify to A/P"," ")</f>
        <v xml:space="preserve"> </v>
      </c>
      <c r="L48" s="732">
        <v>21260000</v>
      </c>
    </row>
    <row r="49" spans="1:12" x14ac:dyDescent="0.25">
      <c r="A49" s="271">
        <v>200</v>
      </c>
      <c r="B49" s="848" t="s">
        <v>632</v>
      </c>
      <c r="C49" s="848"/>
      <c r="D49" s="848"/>
      <c r="E49" s="848"/>
      <c r="F49" s="145">
        <f ca="1">IF(Index!$D$12="GASB",SUMIF(aGASB,A49,bGASB),SUMIF(aFASB,A49,bFASB)+SUMIF(aFASBADJ,A49,bFASBADJ))</f>
        <v>0</v>
      </c>
      <c r="G49" s="351" t="str">
        <f ca="1">IF(F49=0," ",IF(F49='520'!H32," ","Problem: Amount must agree to total Due to Prim Gov per worksheeet 520"))</f>
        <v xml:space="preserve"> </v>
      </c>
      <c r="L49" s="732">
        <v>21250000</v>
      </c>
    </row>
    <row r="50" spans="1:12" x14ac:dyDescent="0.25">
      <c r="A50" s="271">
        <v>220</v>
      </c>
      <c r="B50" s="848" t="s">
        <v>296</v>
      </c>
      <c r="C50" s="848"/>
      <c r="D50" s="848"/>
      <c r="E50" s="848"/>
      <c r="F50" s="145">
        <f ca="1">IF(Index!$D$12="GASB",SUMIF(aGASB,A50,bGASB),SUMIF(aFASB,A50,bFASB)+SUMIF(aFASBADJ,A50,bFASBADJ))</f>
        <v>0</v>
      </c>
      <c r="G50" s="4"/>
      <c r="L50" s="731">
        <v>21811000</v>
      </c>
    </row>
    <row r="51" spans="1:12" x14ac:dyDescent="0.25">
      <c r="A51" s="271">
        <v>222</v>
      </c>
      <c r="B51" s="848" t="s">
        <v>376</v>
      </c>
      <c r="C51" s="848"/>
      <c r="D51" s="848"/>
      <c r="E51" s="848"/>
      <c r="F51" s="145">
        <f ca="1">IF(Index!$D$12="GASB",SUMIF(aGASB,A51,bGASB),SUMIF(aFASB,A51,bFASB)+SUMIF(aFASBADJ,A51,bFASBADJ))</f>
        <v>0</v>
      </c>
      <c r="G51" s="4"/>
      <c r="L51" s="731">
        <v>21310000</v>
      </c>
    </row>
    <row r="52" spans="1:12" x14ac:dyDescent="0.25">
      <c r="A52" s="271">
        <v>225</v>
      </c>
      <c r="B52" s="848" t="s">
        <v>633</v>
      </c>
      <c r="C52" s="848"/>
      <c r="D52" s="848"/>
      <c r="E52" s="848"/>
      <c r="F52" s="145">
        <f ca="1">IF(Index!$D$12="GASB",SUMIF(aGASB,A52,bGASB),SUMIF(aFASB,A52,bFASB)+SUMIF(aFASBADJ,A52,bFASBADJ))</f>
        <v>0</v>
      </c>
      <c r="G52" s="351" t="str">
        <f ca="1">IF(F52=0," ",IF(F52='535'!H22," ","Problem: Amount must agree to total Advance from Prim Gov per worksheeet 535"))</f>
        <v xml:space="preserve"> </v>
      </c>
      <c r="L52" s="732">
        <v>22250000</v>
      </c>
    </row>
    <row r="53" spans="1:12" x14ac:dyDescent="0.25">
      <c r="A53" s="271">
        <v>230</v>
      </c>
      <c r="B53" s="848" t="s">
        <v>243</v>
      </c>
      <c r="C53" s="848"/>
      <c r="D53" s="848"/>
      <c r="E53" s="848"/>
      <c r="F53" s="145">
        <f ca="1">IF(Index!$D$12="GASB",SUMIF(aGASB,A53,bGASB),SUMIF(aFASB,A53,bFASB)+SUMIF(aFASBADJ,A53,bFASBADJ))</f>
        <v>0</v>
      </c>
      <c r="G53" s="4"/>
      <c r="L53" s="731">
        <v>21712000</v>
      </c>
    </row>
    <row r="54" spans="1:12" x14ac:dyDescent="0.25">
      <c r="A54" s="271">
        <v>235</v>
      </c>
      <c r="B54" s="848" t="s">
        <v>132</v>
      </c>
      <c r="C54" s="848"/>
      <c r="D54" s="848"/>
      <c r="E54" s="848"/>
      <c r="F54" s="145">
        <f ca="1">IF(Index!$D$12="GASB",SUMIF(aGASB,A54,bGASB),SUMIF(aFASB,A54,bFASB)+SUMIF(aFASBADJ,A54,bFASBADJ))</f>
        <v>0</v>
      </c>
      <c r="G54" s="4"/>
      <c r="L54" s="731">
        <v>21719000</v>
      </c>
    </row>
    <row r="55" spans="1:12" s="791" customFormat="1" x14ac:dyDescent="0.25">
      <c r="A55" s="271">
        <v>243</v>
      </c>
      <c r="B55" s="862" t="s">
        <v>1428</v>
      </c>
      <c r="C55" s="862"/>
      <c r="D55" s="862"/>
      <c r="E55" s="862"/>
      <c r="F55" s="145">
        <f ca="1">IF(Index!$D$12="GASB",SUMIF(aGASB,A55,bGASB),SUMIF(aFASB,A55,bFASB)+SUMIF(aFASBADJ,A55,bFASBADJ))</f>
        <v>0</v>
      </c>
      <c r="G55" s="4"/>
      <c r="H55" s="650" t="s">
        <v>1410</v>
      </c>
      <c r="L55" s="731">
        <v>21410000</v>
      </c>
    </row>
    <row r="56" spans="1:12" x14ac:dyDescent="0.25">
      <c r="A56" s="327">
        <v>242</v>
      </c>
      <c r="B56" s="874" t="s">
        <v>625</v>
      </c>
      <c r="C56" s="874"/>
      <c r="D56" s="874"/>
      <c r="E56" s="874"/>
      <c r="F56" s="145">
        <f ca="1">IF(Index!$D$12="GASB",SUMIF(aGASB,A56,bGASB),SUMIF(aFASB,A56,bFASB)+SUMIF(aFASBADJ,A56,bFASBADJ))</f>
        <v>0</v>
      </c>
      <c r="G56" s="4"/>
      <c r="L56" s="731">
        <v>21920000</v>
      </c>
    </row>
    <row r="57" spans="1:12" x14ac:dyDescent="0.25">
      <c r="A57" s="271"/>
      <c r="B57" s="272" t="s">
        <v>284</v>
      </c>
      <c r="C57" s="273"/>
      <c r="D57" s="273"/>
      <c r="F57" s="175"/>
      <c r="G57" s="4"/>
    </row>
    <row r="58" spans="1:12" x14ac:dyDescent="0.25">
      <c r="A58" s="271">
        <v>240</v>
      </c>
      <c r="B58" s="850" t="s">
        <v>283</v>
      </c>
      <c r="C58" s="850"/>
      <c r="D58" s="850"/>
      <c r="E58" s="850"/>
      <c r="F58" s="145">
        <f ca="1">IF(Index!$D$12="GASB",SUMIF(aGASB,A58,bGASB),SUMIF(aFASB,A58,bFASB)+SUMIF(aFASBADJ,A58,bFASBADJ))</f>
        <v>0</v>
      </c>
      <c r="G58" s="4"/>
      <c r="L58" s="731" t="s">
        <v>1293</v>
      </c>
    </row>
    <row r="59" spans="1:12" x14ac:dyDescent="0.25">
      <c r="A59" s="271">
        <v>241</v>
      </c>
      <c r="B59" s="850" t="s">
        <v>285</v>
      </c>
      <c r="C59" s="850"/>
      <c r="D59" s="850"/>
      <c r="E59" s="850"/>
      <c r="F59" s="145">
        <f ca="1">IF(Index!$D$12="GASB",SUMIF(aGASB,A59,bGASB),SUMIF(aFASB,A59,bFASB)+SUMIF(aFASBADJ,A59,bFASBADJ))</f>
        <v>0</v>
      </c>
      <c r="G59" s="4"/>
      <c r="L59" s="731" t="s">
        <v>1294</v>
      </c>
    </row>
    <row r="60" spans="1:12" x14ac:dyDescent="0.25">
      <c r="B60" s="886" t="s">
        <v>247</v>
      </c>
      <c r="C60" s="886"/>
      <c r="D60" s="886"/>
      <c r="E60" s="886"/>
      <c r="F60" s="316">
        <f ca="1">SUM(F45:F59)</f>
        <v>0</v>
      </c>
      <c r="G60" s="4"/>
    </row>
    <row r="61" spans="1:12" ht="12.75" customHeight="1" x14ac:dyDescent="0.25">
      <c r="B61" s="5"/>
      <c r="C61" s="5"/>
      <c r="D61" s="5"/>
    </row>
    <row r="62" spans="1:12" ht="12.75" customHeight="1" x14ac:dyDescent="0.25">
      <c r="B62" s="270" t="s">
        <v>680</v>
      </c>
      <c r="C62" s="1"/>
      <c r="D62" s="1"/>
    </row>
    <row r="63" spans="1:12" ht="12.75" customHeight="1" x14ac:dyDescent="0.25">
      <c r="A63" s="271">
        <v>270</v>
      </c>
      <c r="B63" s="848" t="s">
        <v>681</v>
      </c>
      <c r="C63" s="848"/>
      <c r="D63" s="848"/>
      <c r="E63" s="848"/>
      <c r="F63" s="145">
        <f ca="1">IF(Index!$D$12="GASB",SUMIF(aGASB,A63,bGASB),SUMIF(aFASB,A63,bFASB)+SUMIF(aFASBADJ,A63,bFASBADJ))</f>
        <v>0</v>
      </c>
      <c r="L63" s="731">
        <v>71100003</v>
      </c>
    </row>
    <row r="64" spans="1:12" ht="12.75" customHeight="1" x14ac:dyDescent="0.25">
      <c r="A64" s="271">
        <v>275</v>
      </c>
      <c r="B64" s="848" t="s">
        <v>696</v>
      </c>
      <c r="C64" s="848"/>
      <c r="D64" s="848"/>
      <c r="E64" s="848"/>
      <c r="F64" s="145">
        <f ca="1">IF(Index!$D$12="GASB",SUMIF(aGASB,A64,bGASB),SUMIF(aFASB,A64,bFASB)+SUMIF(aFASBADJ,A64,bFASBADJ))</f>
        <v>0</v>
      </c>
      <c r="L64" s="731">
        <v>71100004</v>
      </c>
    </row>
    <row r="65" spans="1:13" ht="12.75" customHeight="1" x14ac:dyDescent="0.25">
      <c r="A65" s="134">
        <v>280</v>
      </c>
      <c r="B65" s="848" t="s">
        <v>777</v>
      </c>
      <c r="C65" s="848"/>
      <c r="D65" s="848"/>
      <c r="E65" s="848"/>
      <c r="F65" s="145">
        <f ca="1">IF(Index!$D$12="GASB",SUMIF(aGASB,A65,bGASB),SUMIF(aFASB,A65,bFASB)+SUMIF(aFASBADJ,A65,bFASBADJ))</f>
        <v>0</v>
      </c>
      <c r="L65" s="731">
        <v>71100005</v>
      </c>
    </row>
    <row r="66" spans="1:13" ht="12.75" customHeight="1" x14ac:dyDescent="0.25">
      <c r="A66" s="134">
        <v>285</v>
      </c>
      <c r="B66" s="848" t="s">
        <v>778</v>
      </c>
      <c r="C66" s="848"/>
      <c r="D66" s="848"/>
      <c r="E66" s="848"/>
      <c r="F66" s="145">
        <f ca="1">IF(Index!$D$12="GASB",SUMIF(aGASB,A66,bGASB),SUMIF(aFASB,A66,bFASB)+SUMIF(aFASBADJ,A66,bFASBADJ))</f>
        <v>0</v>
      </c>
      <c r="L66" s="731">
        <v>71100006</v>
      </c>
    </row>
    <row r="67" spans="1:13" ht="12.75" customHeight="1" x14ac:dyDescent="0.25">
      <c r="A67" s="134">
        <v>287</v>
      </c>
      <c r="B67" s="851" t="s">
        <v>924</v>
      </c>
      <c r="C67" s="851"/>
      <c r="D67" s="851"/>
      <c r="E67" s="851"/>
      <c r="F67" s="145">
        <f ca="1">IF(Index!$D$12="GASB",SUMIF(aGASB,A67,bGASB),SUMIF(aFASB,A67,bFASB)+SUMIF(aFASBADJ,A67,bFASBADJ))</f>
        <v>0</v>
      </c>
      <c r="L67" s="731">
        <v>71100008</v>
      </c>
    </row>
    <row r="68" spans="1:13" ht="12.75" customHeight="1" x14ac:dyDescent="0.25">
      <c r="A68" s="134">
        <v>291</v>
      </c>
      <c r="B68" s="863" t="s">
        <v>1112</v>
      </c>
      <c r="C68" s="863"/>
      <c r="D68" s="863"/>
      <c r="E68" s="863"/>
      <c r="F68" s="145">
        <f ca="1">IF(Index!$D$12="GASB",SUMIF(aGASB,A68,bGASB),SUMIF(aFASB,A68,bFASB)+SUMIF(aFASBADJ,A68,bFASBADJ))</f>
        <v>0</v>
      </c>
      <c r="G68" s="558"/>
      <c r="I68" s="558"/>
      <c r="L68" s="731">
        <v>71100009</v>
      </c>
    </row>
    <row r="69" spans="1:13" ht="12.75" customHeight="1" x14ac:dyDescent="0.25">
      <c r="A69" s="134">
        <v>288</v>
      </c>
      <c r="B69" s="851" t="s">
        <v>947</v>
      </c>
      <c r="C69" s="851"/>
      <c r="D69" s="851"/>
      <c r="E69" s="851"/>
      <c r="F69" s="145">
        <f ca="1">IF(Index!$D$12="GASB",SUMIF(aGASB,A69,bGASB),SUMIF(aFASB,A69,bFASB)+SUMIF(aFASBADJ,A69,bFASBADJ))</f>
        <v>0</v>
      </c>
      <c r="L69" s="731">
        <v>71100010</v>
      </c>
    </row>
    <row r="70" spans="1:13" ht="12.75" customHeight="1" x14ac:dyDescent="0.25">
      <c r="A70" s="134">
        <v>289</v>
      </c>
      <c r="B70" s="852" t="s">
        <v>1108</v>
      </c>
      <c r="C70" s="852"/>
      <c r="D70" s="852"/>
      <c r="E70" s="852"/>
      <c r="F70" s="145">
        <f ca="1">IF(Index!$D$12="GASB",SUMIF(aGASB,A70,bGASB),SUMIF(aFASB,A70,bFASB)+SUMIF(aFASBADJ,A70,bFASBADJ))</f>
        <v>0</v>
      </c>
      <c r="G70" s="558"/>
      <c r="I70" s="558"/>
      <c r="L70" s="731">
        <v>71100011</v>
      </c>
    </row>
    <row r="71" spans="1:13" s="784" customFormat="1" ht="12.75" customHeight="1" x14ac:dyDescent="0.25">
      <c r="A71" s="134">
        <v>292</v>
      </c>
      <c r="B71" s="864" t="s">
        <v>1417</v>
      </c>
      <c r="C71" s="864"/>
      <c r="D71" s="864"/>
      <c r="E71" s="864"/>
      <c r="F71" s="145">
        <f ca="1">IF(Index!$D$12="GASB",SUMIF(aGASB,A71,bGASB),SUMIF(aFASB,A71,bFASB)+SUMIF(aFASBADJ,A71,bFASBADJ))</f>
        <v>0</v>
      </c>
      <c r="G71" s="558"/>
      <c r="H71" s="650" t="s">
        <v>1410</v>
      </c>
      <c r="I71" s="558"/>
      <c r="L71" s="731">
        <v>71100012</v>
      </c>
    </row>
    <row r="72" spans="1:13" ht="12.75" customHeight="1" x14ac:dyDescent="0.25">
      <c r="A72" s="134">
        <v>290</v>
      </c>
      <c r="B72" s="851" t="s">
        <v>941</v>
      </c>
      <c r="C72" s="851"/>
      <c r="D72" s="851"/>
      <c r="E72" s="851"/>
      <c r="F72" s="145">
        <f ca="1">IF(Index!$D$12="GASB",SUMIF(aGASB,A72,bGASB),SUMIF(aFASB,A72,bFASB)+SUMIF(aFASBADJ,A72,bFASBADJ))</f>
        <v>0</v>
      </c>
      <c r="L72" s="731">
        <v>71100007</v>
      </c>
    </row>
    <row r="73" spans="1:13" ht="12.75" customHeight="1" x14ac:dyDescent="0.25">
      <c r="B73" s="886" t="s">
        <v>697</v>
      </c>
      <c r="C73" s="886"/>
      <c r="D73" s="886"/>
      <c r="E73" s="886"/>
      <c r="F73" s="316">
        <f ca="1">SUM(F63:F72)</f>
        <v>0</v>
      </c>
    </row>
    <row r="74" spans="1:13" ht="12.75" customHeight="1" x14ac:dyDescent="0.25">
      <c r="B74" s="5"/>
      <c r="C74" s="5"/>
      <c r="D74" s="5"/>
    </row>
    <row r="75" spans="1:13" x14ac:dyDescent="0.25">
      <c r="B75" s="270" t="s">
        <v>690</v>
      </c>
      <c r="C75" s="1"/>
      <c r="D75" s="1"/>
    </row>
    <row r="76" spans="1:13" x14ac:dyDescent="0.25">
      <c r="A76" s="9">
        <v>300</v>
      </c>
      <c r="B76" s="848" t="s">
        <v>730</v>
      </c>
      <c r="C76" s="848"/>
      <c r="D76" s="848"/>
      <c r="E76" s="848"/>
      <c r="F76" s="145">
        <f ca="1">IF(Index!$D$12="GASB",SUMIF(aGASB,A76,bGASB),SUMIF(aFASB,A76,bFASB)+SUMIF(aFASBADJ,A76,bFASBADJ))</f>
        <v>0</v>
      </c>
      <c r="G76" s="354" t="str">
        <f ca="1">IF(F76&lt;=F31+F32," ","Problem: Must be less than or equal to total capital assets, deprec &amp; nondeprec")</f>
        <v xml:space="preserve"> </v>
      </c>
      <c r="L76" s="731" t="s">
        <v>1295</v>
      </c>
      <c r="M76" s="733" t="s">
        <v>1300</v>
      </c>
    </row>
    <row r="77" spans="1:13" x14ac:dyDescent="0.25">
      <c r="A77" s="9"/>
      <c r="B77" s="134" t="s">
        <v>262</v>
      </c>
      <c r="C77" s="134"/>
      <c r="D77" s="134"/>
      <c r="E77" s="134"/>
      <c r="F77" s="175"/>
      <c r="M77" s="726"/>
    </row>
    <row r="78" spans="1:13" x14ac:dyDescent="0.25">
      <c r="A78" s="9">
        <v>305</v>
      </c>
      <c r="B78" s="850" t="s">
        <v>377</v>
      </c>
      <c r="C78" s="850"/>
      <c r="D78" s="850"/>
      <c r="E78" s="850"/>
      <c r="F78" s="145">
        <f ca="1">IF(Index!$D$12="GASB",SUMIF(aGASB,A78,bGASB),SUMIF(aFASB,A78,bFASB)+SUMIF(aFASBADJ,A78,bFASBADJ))</f>
        <v>0</v>
      </c>
      <c r="G78" s="355" t="str">
        <f ca="1">IF(F78&lt;0,"Problem: Restricted net position cannot be negative - see Net Position Policy in instructions"," ")</f>
        <v xml:space="preserve"> </v>
      </c>
      <c r="L78" s="731" t="s">
        <v>733</v>
      </c>
      <c r="M78" s="733" t="s">
        <v>1301</v>
      </c>
    </row>
    <row r="79" spans="1:13" x14ac:dyDescent="0.25">
      <c r="A79" s="9">
        <v>310</v>
      </c>
      <c r="B79" s="850" t="s">
        <v>192</v>
      </c>
      <c r="C79" s="850"/>
      <c r="D79" s="850"/>
      <c r="E79" s="850"/>
      <c r="F79" s="145">
        <f ca="1">IF(Index!$D$12="GASB",SUMIF(aGASB,A79,bGASB),SUMIF(aFASB,A79,bFASB)+SUMIF(aFASBADJ,A79,bFASBADJ))</f>
        <v>0</v>
      </c>
      <c r="G79" s="355" t="str">
        <f ca="1">IF(F79&lt;0,"Problem: Restricted net position cannot be negative - see Net Position Policy in instructions"," ")</f>
        <v xml:space="preserve"> </v>
      </c>
      <c r="L79" s="731" t="s">
        <v>733</v>
      </c>
      <c r="M79" s="733" t="s">
        <v>1302</v>
      </c>
    </row>
    <row r="80" spans="1:13" x14ac:dyDescent="0.25">
      <c r="A80" s="9">
        <v>315</v>
      </c>
      <c r="B80" s="850" t="s">
        <v>350</v>
      </c>
      <c r="C80" s="850"/>
      <c r="D80" s="850"/>
      <c r="E80" s="850"/>
      <c r="F80" s="145">
        <f ca="1">IF(Index!$D$12="GASB",SUMIF(aGASB,A80,bGASB),SUMIF(aFASB,A80,bFASB)+SUMIF(aFASBADJ,A80,bFASBADJ))</f>
        <v>0</v>
      </c>
      <c r="G80" s="355" t="str">
        <f ca="1">IF(F80&lt;0,"Problem: Restricted net position cannot be negative - see Net Position Policy in instructions"," ")</f>
        <v xml:space="preserve"> </v>
      </c>
      <c r="L80" s="731" t="s">
        <v>733</v>
      </c>
      <c r="M80" s="733" t="s">
        <v>1303</v>
      </c>
    </row>
    <row r="81" spans="1:13" x14ac:dyDescent="0.25">
      <c r="A81" s="9">
        <v>320</v>
      </c>
      <c r="B81" s="848" t="s">
        <v>246</v>
      </c>
      <c r="C81" s="848"/>
      <c r="D81" s="848"/>
      <c r="E81" s="848"/>
      <c r="F81" s="145">
        <f ca="1">IF(Index!$D$12="GASB",SUMIF(aGASB,A81,bGASB),SUMIF(aFASB,A81,bFASB)+SUMIF(aFASBADJ,A81,bFASBADJ))</f>
        <v>0</v>
      </c>
      <c r="G81" s="4"/>
      <c r="L81" s="731" t="s">
        <v>1296</v>
      </c>
      <c r="M81" s="733" t="s">
        <v>1304</v>
      </c>
    </row>
    <row r="82" spans="1:13" ht="13.8" thickBot="1" x14ac:dyDescent="0.3">
      <c r="B82" s="886" t="s">
        <v>691</v>
      </c>
      <c r="C82" s="886"/>
      <c r="D82" s="886"/>
      <c r="E82" s="886"/>
      <c r="F82" s="318">
        <f ca="1">SUM(F76:F81)</f>
        <v>0</v>
      </c>
      <c r="G82" s="4"/>
    </row>
    <row r="83" spans="1:13" ht="13.8" thickTop="1" x14ac:dyDescent="0.25"/>
    <row r="84" spans="1:13" x14ac:dyDescent="0.25">
      <c r="B84" s="438" t="s">
        <v>698</v>
      </c>
      <c r="C84" s="35"/>
      <c r="D84" s="35"/>
      <c r="F84" s="7" t="str">
        <f ca="1">IF(ROUND(F33+F42-F60-F73,2)=F82,"OK","ERROR")</f>
        <v>OK</v>
      </c>
    </row>
    <row r="85" spans="1:13" x14ac:dyDescent="0.25">
      <c r="B85" s="35"/>
      <c r="C85" s="35"/>
      <c r="D85" s="35"/>
    </row>
    <row r="86" spans="1:13" x14ac:dyDescent="0.25">
      <c r="B86" s="35"/>
      <c r="C86" s="35"/>
      <c r="D86" s="35"/>
    </row>
    <row r="87" spans="1:13" x14ac:dyDescent="0.25">
      <c r="A87" s="858" t="s">
        <v>195</v>
      </c>
      <c r="B87" s="858"/>
      <c r="C87" s="858"/>
      <c r="D87" s="858"/>
      <c r="E87" s="858"/>
      <c r="F87" s="190" t="str">
        <f>CONCATENATE("FYE ",+TEXT(Data!$A$2,"mmmm d,yyyy"))</f>
        <v>FYE June 30,2022</v>
      </c>
    </row>
    <row r="88" spans="1:13" x14ac:dyDescent="0.25">
      <c r="B88" s="270" t="s">
        <v>249</v>
      </c>
    </row>
    <row r="89" spans="1:13" x14ac:dyDescent="0.25">
      <c r="A89" s="271">
        <v>500</v>
      </c>
      <c r="B89" s="848" t="s">
        <v>351</v>
      </c>
      <c r="C89" s="848"/>
      <c r="D89" s="848"/>
      <c r="E89" s="848"/>
      <c r="F89" s="337">
        <f ca="1">IF(Index!$D$12="GASB",SUMIF(aGASB,A89,bGASB),SUMIF(aFASB,A89,bFASB)+SUMIF(aFASBADJ,A89,bFASBADJ))</f>
        <v>0</v>
      </c>
      <c r="L89" s="731">
        <v>44101000</v>
      </c>
    </row>
    <row r="90" spans="1:13" x14ac:dyDescent="0.25">
      <c r="A90" s="327">
        <v>508</v>
      </c>
      <c r="B90" s="874" t="s">
        <v>617</v>
      </c>
      <c r="C90" s="874"/>
      <c r="D90" s="874"/>
      <c r="E90" s="874"/>
      <c r="F90" s="145">
        <f ca="1">IF(Index!$D$12="GASB",SUMIF(aGASB,A90,bGASB),SUMIF(aFASB,A90,bFASB)+SUMIF(aFASBADJ,A90,bFASBADJ))</f>
        <v>0</v>
      </c>
      <c r="G90" s="331"/>
      <c r="L90" s="731">
        <v>42990000</v>
      </c>
    </row>
    <row r="91" spans="1:13" s="646" customFormat="1" x14ac:dyDescent="0.25">
      <c r="A91" s="327">
        <v>509</v>
      </c>
      <c r="B91" s="869" t="s">
        <v>1307</v>
      </c>
      <c r="C91" s="869"/>
      <c r="D91" s="869"/>
      <c r="E91" s="869"/>
      <c r="F91" s="145">
        <f ca="1">IF(Index!$D$12="GASB",SUMIF(aGASB,A91,bGASB),SUMIF(aFASB,A91,bFASB)+SUMIF(aFASBADJ,A91,bFASBADJ))</f>
        <v>0</v>
      </c>
      <c r="G91" s="331"/>
      <c r="H91" s="650"/>
      <c r="L91" s="731">
        <v>42905000</v>
      </c>
    </row>
    <row r="92" spans="1:13" x14ac:dyDescent="0.25">
      <c r="A92" s="271">
        <v>512</v>
      </c>
      <c r="B92" s="848" t="s">
        <v>352</v>
      </c>
      <c r="C92" s="848"/>
      <c r="D92" s="848"/>
      <c r="E92" s="848"/>
      <c r="F92" s="145">
        <f ca="1">IF(Index!$D$12="GASB",SUMIF(aGASB,A92,bGASB),SUMIF(aFASB,A92,bFASB)+SUMIF(aFASBADJ,A92,bFASBADJ))</f>
        <v>0</v>
      </c>
      <c r="I92" s="328"/>
      <c r="L92" s="731">
        <v>46130000</v>
      </c>
    </row>
    <row r="93" spans="1:13" s="646" customFormat="1" x14ac:dyDescent="0.25">
      <c r="A93" s="271" t="s">
        <v>1213</v>
      </c>
      <c r="B93" s="851" t="s">
        <v>1224</v>
      </c>
      <c r="C93" s="851"/>
      <c r="D93" s="851"/>
      <c r="E93" s="851"/>
      <c r="F93" s="145">
        <f ca="1">IF(Index!$D$12="GASB",SUMIF(aGASB,A93,bGASB),SUMIF(aFASB,A93,bFASB)+SUMIF(aFASBADJ,A93,bFASBADJ))</f>
        <v>0</v>
      </c>
      <c r="H93" s="650"/>
      <c r="I93" s="328"/>
      <c r="L93" s="731" t="s">
        <v>1297</v>
      </c>
    </row>
    <row r="94" spans="1:13" x14ac:dyDescent="0.25">
      <c r="A94" s="327">
        <v>511</v>
      </c>
      <c r="B94" s="874" t="s">
        <v>326</v>
      </c>
      <c r="C94" s="874"/>
      <c r="D94" s="874"/>
      <c r="E94" s="874"/>
      <c r="F94" s="145">
        <f ca="1">IF(Index!$D$12="GASB",SUMIF(aGASB,A94,bGASB),SUMIF(aFASB,A94,bFASB)+SUMIF(aFASBADJ,A94,bFASBADJ))</f>
        <v>0</v>
      </c>
      <c r="G94" s="331"/>
      <c r="L94" s="731">
        <v>42901000</v>
      </c>
    </row>
    <row r="95" spans="1:13" x14ac:dyDescent="0.25">
      <c r="A95" s="271">
        <v>513</v>
      </c>
      <c r="B95" s="848" t="s">
        <v>353</v>
      </c>
      <c r="C95" s="848"/>
      <c r="D95" s="848"/>
      <c r="E95" s="848"/>
      <c r="F95" s="145">
        <f ca="1">IF(Index!$D$12="GASB",SUMIF(aGASB,A95,bGASB),SUMIF(aFASB,A95,bFASB)+SUMIF(aFASBADJ,A95,bFASBADJ))</f>
        <v>0</v>
      </c>
      <c r="I95" s="328"/>
      <c r="L95" s="731" t="s">
        <v>1298</v>
      </c>
    </row>
    <row r="96" spans="1:13" x14ac:dyDescent="0.25">
      <c r="A96" s="327">
        <v>514</v>
      </c>
      <c r="B96" s="874" t="s">
        <v>1050</v>
      </c>
      <c r="C96" s="874"/>
      <c r="D96" s="874"/>
      <c r="E96" s="874"/>
      <c r="F96" s="145">
        <f ca="1">IF(Index!$D$12="GASB",SUMIF(aGASB,A96,bGASB),SUMIF(aFASB,A96,bFASB)+SUMIF(aFASBADJ,A96,bFASBADJ))</f>
        <v>0</v>
      </c>
      <c r="G96" s="331"/>
      <c r="L96" s="731" t="s">
        <v>1299</v>
      </c>
    </row>
    <row r="97" spans="1:12" x14ac:dyDescent="0.25">
      <c r="A97" s="327">
        <v>510</v>
      </c>
      <c r="B97" s="874" t="s">
        <v>618</v>
      </c>
      <c r="C97" s="874"/>
      <c r="D97" s="874"/>
      <c r="E97" s="874"/>
      <c r="F97" s="145">
        <f ca="1">IF(Index!$D$12="GASB",SUMIF(aGASB,A97,bGASB),SUMIF(aFASB,A97,bFASB)+SUMIF(aFASBADJ,A97,bFASBADJ))</f>
        <v>0</v>
      </c>
      <c r="G97" s="331"/>
      <c r="L97" s="731">
        <v>42908000</v>
      </c>
    </row>
    <row r="98" spans="1:12" s="743" customFormat="1" x14ac:dyDescent="0.25">
      <c r="A98" s="327">
        <v>515</v>
      </c>
      <c r="B98" s="887" t="s">
        <v>1351</v>
      </c>
      <c r="C98" s="887"/>
      <c r="D98" s="887"/>
      <c r="E98" s="887"/>
      <c r="F98" s="145">
        <f ca="1">IF(Index!$D$12="GASB",SUMIF(aGASB,A98,bGASB),SUMIF(aFASB,A98,bFASB)+SUMIF(aFASBADJ,A98,bFASBADJ))</f>
        <v>0</v>
      </c>
      <c r="G98" s="331"/>
      <c r="I98" s="749"/>
      <c r="J98" s="750"/>
      <c r="K98" s="750"/>
      <c r="L98" s="731">
        <v>46207000</v>
      </c>
    </row>
    <row r="99" spans="1:12" x14ac:dyDescent="0.25">
      <c r="A99" s="327">
        <v>521</v>
      </c>
      <c r="B99" s="862" t="s">
        <v>1421</v>
      </c>
      <c r="C99" s="862"/>
      <c r="D99" s="862"/>
      <c r="E99" s="862"/>
      <c r="F99" s="145">
        <f ca="1">IF(Index!$D$12="GASB",SUMIF(aGASB,A99,bGASB),SUMIF(aFASB,A99,bFASB)+SUMIF(aFASBADJ,A99,bFASBADJ))</f>
        <v>0</v>
      </c>
      <c r="G99" s="650"/>
      <c r="I99" s="650" t="s">
        <v>1410</v>
      </c>
      <c r="L99" s="731">
        <v>47128000</v>
      </c>
    </row>
    <row r="100" spans="1:12" x14ac:dyDescent="0.25">
      <c r="A100" s="271">
        <v>520</v>
      </c>
      <c r="B100" s="848" t="s">
        <v>355</v>
      </c>
      <c r="C100" s="848"/>
      <c r="D100" s="848"/>
      <c r="E100" s="848"/>
      <c r="F100" s="145">
        <f ca="1">IF(Index!$D$12="GASB",SUMIF(aGASB,A100,bGASB),SUMIF(aFASB,A100,bFASB)+SUMIF(aFASBADJ,A100,bFASBADJ))</f>
        <v>0</v>
      </c>
      <c r="L100" s="731">
        <v>47111000</v>
      </c>
    </row>
    <row r="101" spans="1:12" x14ac:dyDescent="0.25">
      <c r="A101" s="271"/>
      <c r="B101" s="848" t="s">
        <v>251</v>
      </c>
      <c r="C101" s="848"/>
      <c r="D101" s="848"/>
      <c r="E101" s="848"/>
      <c r="F101" s="316">
        <f ca="1">SUM(F89:F100)</f>
        <v>0</v>
      </c>
      <c r="L101" s="731"/>
    </row>
    <row r="102" spans="1:12" x14ac:dyDescent="0.25">
      <c r="A102" s="271"/>
      <c r="L102" s="731"/>
    </row>
    <row r="103" spans="1:12" x14ac:dyDescent="0.25">
      <c r="A103" s="271"/>
      <c r="B103" s="270" t="s">
        <v>252</v>
      </c>
      <c r="L103" s="731"/>
    </row>
    <row r="104" spans="1:12" x14ac:dyDescent="0.25">
      <c r="A104" s="271">
        <v>600</v>
      </c>
      <c r="B104" s="848" t="s">
        <v>253</v>
      </c>
      <c r="C104" s="848"/>
      <c r="D104" s="848"/>
      <c r="E104" s="848"/>
      <c r="F104" s="145">
        <f ca="1">IF(Index!$D$12="GASB",SUMIF(aGASB,A104,bGASB),SUMIF(aFASB,A104,bFASB)+SUMIF(aFASBADJ,A104,bFASBADJ))</f>
        <v>0</v>
      </c>
      <c r="L104" s="731">
        <v>52511000</v>
      </c>
    </row>
    <row r="105" spans="1:12" x14ac:dyDescent="0.25">
      <c r="A105" s="271"/>
      <c r="B105" s="127"/>
      <c r="C105" s="127"/>
      <c r="D105" s="127"/>
      <c r="E105" s="127"/>
      <c r="F105" s="175"/>
      <c r="L105" s="731"/>
    </row>
    <row r="106" spans="1:12" x14ac:dyDescent="0.25">
      <c r="A106" s="271">
        <v>700</v>
      </c>
      <c r="B106" s="848" t="s">
        <v>164</v>
      </c>
      <c r="C106" s="848"/>
      <c r="D106" s="848"/>
      <c r="E106" s="848"/>
      <c r="F106" s="145">
        <f ca="1">IF(Index!$D$12="GASB",SUMIF(aGASB,A106,bGASB),SUMIF(aFASB,A106,bFASB)+SUMIF(aFASBADJ,A106,bFASBADJ))</f>
        <v>0</v>
      </c>
      <c r="G106" s="333" t="str">
        <f ca="1">IF(AND(ABS(F106)&gt;=1,ABS(F106)&lt;10000000),"Problem: Under $10 million threshold - reclassify to another rev or exp"," ")</f>
        <v xml:space="preserve"> </v>
      </c>
      <c r="L106" s="731">
        <v>55750000</v>
      </c>
    </row>
    <row r="107" spans="1:12" x14ac:dyDescent="0.25">
      <c r="A107" s="271">
        <v>701</v>
      </c>
      <c r="B107" s="848" t="s">
        <v>165</v>
      </c>
      <c r="C107" s="848"/>
      <c r="D107" s="848"/>
      <c r="E107" s="848"/>
      <c r="F107" s="145">
        <f ca="1">IF(Index!$D$12="GASB",SUMIF(aGASB,A107,bGASB),SUMIF(aFASB,A107,bFASB)+SUMIF(aFASBADJ,A107,bFASBADJ))</f>
        <v>0</v>
      </c>
      <c r="G107" s="333" t="str">
        <f ca="1">IF(AND(ABS(F107)&gt;=1,ABS(F107)&lt;10000000),"Problem: Under $10 million threshold - reclassify to another rev or exp"," ")</f>
        <v xml:space="preserve"> </v>
      </c>
      <c r="L107" s="731">
        <v>47700000</v>
      </c>
    </row>
    <row r="108" spans="1:12" x14ac:dyDescent="0.25">
      <c r="A108" s="9"/>
    </row>
    <row r="109" spans="1:12" x14ac:dyDescent="0.25">
      <c r="A109" s="9"/>
      <c r="B109" s="848" t="s">
        <v>692</v>
      </c>
      <c r="C109" s="848"/>
      <c r="D109" s="848"/>
      <c r="E109" s="848"/>
      <c r="F109" s="338">
        <f ca="1">F101-F104+F106+F107</f>
        <v>0</v>
      </c>
    </row>
    <row r="110" spans="1:12" x14ac:dyDescent="0.25">
      <c r="A110" s="9"/>
      <c r="B110" s="439"/>
      <c r="F110" s="175"/>
    </row>
    <row r="111" spans="1:12" x14ac:dyDescent="0.25">
      <c r="A111" s="9">
        <v>800</v>
      </c>
      <c r="B111" s="853" t="s">
        <v>702</v>
      </c>
      <c r="C111" s="853"/>
      <c r="D111" s="853"/>
      <c r="E111" s="853"/>
      <c r="F111" s="145">
        <f ca="1">IF(Index!$D$12="GASB",SUMIF(aGASB,A111,bGASB),SUMIF(aFASB,A111,bFASB)+SUMIF(aFASBADJ,A111,bFASBADJ))</f>
        <v>897250000</v>
      </c>
    </row>
    <row r="112" spans="1:12" x14ac:dyDescent="0.25">
      <c r="A112" s="9">
        <v>801</v>
      </c>
      <c r="B112" s="848" t="s">
        <v>661</v>
      </c>
      <c r="C112" s="848"/>
      <c r="D112" s="848"/>
      <c r="E112" s="848"/>
      <c r="F112" s="807">
        <f ca="1">IF(Index!$D$12="GASB",SUMIF(aGASB,A112,bGASB),SUMIF(aFASB,A112,bFASB)+SUMIF(aFASBADJ,A112,bFASBADJ))</f>
        <v>0</v>
      </c>
      <c r="G112" s="353" t="str">
        <f ca="1">IF(F112&lt;&gt;'430'!D33,"Problem: Restatement must tie to worksheet 430 total"," ")</f>
        <v xml:space="preserve"> </v>
      </c>
      <c r="L112" s="731">
        <v>33000100</v>
      </c>
    </row>
    <row r="113" spans="1:6" ht="13.8" thickBot="1" x14ac:dyDescent="0.3">
      <c r="B113" s="848" t="s">
        <v>693</v>
      </c>
      <c r="C113" s="848"/>
      <c r="D113" s="848"/>
      <c r="E113" s="848"/>
      <c r="F113" s="318">
        <f ca="1">F109+F111+F112</f>
        <v>897250000</v>
      </c>
    </row>
    <row r="114" spans="1:6" ht="13.8" thickTop="1" x14ac:dyDescent="0.25"/>
    <row r="115" spans="1:6" x14ac:dyDescent="0.25">
      <c r="B115" s="35" t="s">
        <v>694</v>
      </c>
      <c r="F115" s="7" t="str">
        <f ca="1">IF(ROUND(F113,2)=F82,"OK","ERROR")</f>
        <v>ERROR</v>
      </c>
    </row>
    <row r="116" spans="1:6" x14ac:dyDescent="0.25">
      <c r="B116" s="35"/>
    </row>
    <row r="117" spans="1:6" x14ac:dyDescent="0.25">
      <c r="A117" s="274"/>
    </row>
    <row r="118" spans="1:6" x14ac:dyDescent="0.25">
      <c r="B118" s="274" t="s">
        <v>348</v>
      </c>
    </row>
    <row r="119" spans="1:6" x14ac:dyDescent="0.25">
      <c r="B119" s="5" t="s">
        <v>347</v>
      </c>
    </row>
    <row r="120" spans="1:6" x14ac:dyDescent="0.25">
      <c r="B120" s="5" t="s">
        <v>346</v>
      </c>
    </row>
    <row r="121" spans="1:6" x14ac:dyDescent="0.25">
      <c r="B121" s="5" t="s">
        <v>695</v>
      </c>
    </row>
  </sheetData>
  <sheetProtection algorithmName="SHA-512" hashValue="L5tqRSzToyk0cCr6BbwkIBrTsEysjviWAlDzlOgi54V1nrq09D8lBhYztTQVXNqi0OpHpF8nCqgmh1IyupnHeQ==" saltValue="tlGhdCltdtAfBhxDjHkPLA==" spinCount="100000" sheet="1" objects="1" scenarios="1" autoFilter="0"/>
  <mergeCells count="93">
    <mergeCell ref="F7:G7"/>
    <mergeCell ref="B33:E33"/>
    <mergeCell ref="B16:E16"/>
    <mergeCell ref="B17:E17"/>
    <mergeCell ref="B19:E19"/>
    <mergeCell ref="B27:E27"/>
    <mergeCell ref="B25:E25"/>
    <mergeCell ref="B26:E26"/>
    <mergeCell ref="B31:E31"/>
    <mergeCell ref="B32:E32"/>
    <mergeCell ref="A11:E11"/>
    <mergeCell ref="B21:E21"/>
    <mergeCell ref="B20:E20"/>
    <mergeCell ref="B24:E24"/>
    <mergeCell ref="B18:E18"/>
    <mergeCell ref="B22:E22"/>
    <mergeCell ref="B82:E82"/>
    <mergeCell ref="B90:E90"/>
    <mergeCell ref="B76:E76"/>
    <mergeCell ref="B68:E68"/>
    <mergeCell ref="B81:E81"/>
    <mergeCell ref="B70:E70"/>
    <mergeCell ref="B69:E69"/>
    <mergeCell ref="B72:E72"/>
    <mergeCell ref="B78:E78"/>
    <mergeCell ref="B80:E80"/>
    <mergeCell ref="B73:E73"/>
    <mergeCell ref="B79:E79"/>
    <mergeCell ref="B71:E71"/>
    <mergeCell ref="A2:G2"/>
    <mergeCell ref="A3:G3"/>
    <mergeCell ref="F5:G5"/>
    <mergeCell ref="C6:D6"/>
    <mergeCell ref="F6:G6"/>
    <mergeCell ref="A4:H4"/>
    <mergeCell ref="C5:D5"/>
    <mergeCell ref="A1:G1"/>
    <mergeCell ref="B54:E54"/>
    <mergeCell ref="B56:E56"/>
    <mergeCell ref="A10:G10"/>
    <mergeCell ref="B23:E23"/>
    <mergeCell ref="B42:E42"/>
    <mergeCell ref="B48:E48"/>
    <mergeCell ref="B51:E51"/>
    <mergeCell ref="B52:E52"/>
    <mergeCell ref="B38:E38"/>
    <mergeCell ref="B30:E30"/>
    <mergeCell ref="B36:E36"/>
    <mergeCell ref="B37:E37"/>
    <mergeCell ref="B41:E41"/>
    <mergeCell ref="B29:E29"/>
    <mergeCell ref="B40:E40"/>
    <mergeCell ref="B28:E28"/>
    <mergeCell ref="A9:H9"/>
    <mergeCell ref="B13:E13"/>
    <mergeCell ref="B50:E50"/>
    <mergeCell ref="B14:E14"/>
    <mergeCell ref="B39:E39"/>
    <mergeCell ref="B15:E15"/>
    <mergeCell ref="B113:E113"/>
    <mergeCell ref="B101:E101"/>
    <mergeCell ref="B104:E104"/>
    <mergeCell ref="B109:E109"/>
    <mergeCell ref="B111:E111"/>
    <mergeCell ref="B106:E106"/>
    <mergeCell ref="B112:E112"/>
    <mergeCell ref="B107:E107"/>
    <mergeCell ref="B100:E100"/>
    <mergeCell ref="A87:E87"/>
    <mergeCell ref="B89:E89"/>
    <mergeCell ref="B95:E95"/>
    <mergeCell ref="B97:E97"/>
    <mergeCell ref="B96:E96"/>
    <mergeCell ref="B94:E94"/>
    <mergeCell ref="B92:E92"/>
    <mergeCell ref="B91:E91"/>
    <mergeCell ref="B93:E93"/>
    <mergeCell ref="B98:E98"/>
    <mergeCell ref="B99:E99"/>
    <mergeCell ref="B53:E53"/>
    <mergeCell ref="B46:E46"/>
    <mergeCell ref="B47:E47"/>
    <mergeCell ref="B49:E49"/>
    <mergeCell ref="B45:E45"/>
    <mergeCell ref="B55:E55"/>
    <mergeCell ref="B66:E66"/>
    <mergeCell ref="B65:E65"/>
    <mergeCell ref="B67:E67"/>
    <mergeCell ref="B64:E64"/>
    <mergeCell ref="B58:E58"/>
    <mergeCell ref="B59:E59"/>
    <mergeCell ref="B63:E63"/>
    <mergeCell ref="B60:E60"/>
  </mergeCells>
  <phoneticPr fontId="0" type="noConversion"/>
  <conditionalFormatting sqref="F84 F115">
    <cfRule type="cellIs" dxfId="41" priority="2" stopIfTrue="1" operator="equal">
      <formula>"ERROR"</formula>
    </cfRule>
  </conditionalFormatting>
  <conditionalFormatting sqref="H1:H3">
    <cfRule type="cellIs" dxfId="40" priority="1" stopIfTrue="1" operator="equal">
      <formula>"na"</formula>
    </cfRule>
  </conditionalFormatting>
  <dataValidations disablePrompts="1" count="1">
    <dataValidation type="textLength" operator="equal" allowBlank="1" showInputMessage="1" showErrorMessage="1" errorTitle="Invalid data!" error="GASB number must be 4 digits." sqref="D7" xr:uid="{00000000-0002-0000-0500-000000000000}">
      <formula1>4</formula1>
    </dataValidation>
  </dataValidations>
  <hyperlinks>
    <hyperlink ref="A1:G1" location="Index!A1" display="Index!A1" xr:uid="{00000000-0004-0000-0500-000000000000}"/>
  </hyperlinks>
  <pageMargins left="0.95" right="0.45" top="0.5" bottom="0.5" header="0.3" footer="0.3"/>
  <pageSetup scale="97" orientation="portrait" r:id="rId1"/>
  <headerFooter>
    <oddFooter>&amp;R&amp;A</oddFooter>
  </headerFooter>
  <rowBreaks count="1" manualBreakCount="1">
    <brk id="61"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5"/>
  <dimension ref="A1:V115"/>
  <sheetViews>
    <sheetView showGridLines="0" zoomScaleNormal="100" workbookViewId="0">
      <selection activeCell="K1" sqref="K1"/>
    </sheetView>
  </sheetViews>
  <sheetFormatPr defaultColWidth="9.109375" defaultRowHeight="13.2" x14ac:dyDescent="0.25"/>
  <cols>
    <col min="1" max="1" width="15.44140625" customWidth="1"/>
    <col min="2" max="2" width="26.109375" customWidth="1"/>
    <col min="3" max="3" width="19.109375" style="246" customWidth="1"/>
    <col min="4" max="4" width="1.5546875" customWidth="1"/>
    <col min="5" max="5" width="17.5546875" style="145" customWidth="1"/>
    <col min="6" max="6" width="1.44140625" customWidth="1"/>
    <col min="7" max="7" width="15.5546875" customWidth="1"/>
    <col min="8" max="8" width="1.44140625" customWidth="1"/>
    <col min="9" max="9" width="10.5546875" customWidth="1"/>
    <col min="10" max="10" width="1.44140625" customWidth="1"/>
    <col min="11" max="11" width="4.5546875" customWidth="1"/>
    <col min="13" max="13" width="12.5546875" customWidth="1"/>
  </cols>
  <sheetData>
    <row r="1" spans="1:22" ht="15.6" x14ac:dyDescent="0.3">
      <c r="A1" s="854" t="str">
        <f>+Index!$A$1</f>
        <v>Office of the State Controller</v>
      </c>
      <c r="B1" s="854"/>
      <c r="C1" s="854"/>
      <c r="D1" s="854"/>
      <c r="E1" s="854"/>
      <c r="F1" s="854"/>
      <c r="G1" s="854"/>
      <c r="H1" s="312"/>
      <c r="I1" s="312"/>
      <c r="J1" s="312"/>
      <c r="K1" s="261" t="str">
        <f>IF(Index!$B$46="na","NA","")</f>
        <v/>
      </c>
      <c r="L1" s="255" t="s">
        <v>371</v>
      </c>
      <c r="N1" s="21"/>
      <c r="O1" s="21"/>
      <c r="P1" s="21"/>
      <c r="Q1" s="21"/>
      <c r="R1" s="21"/>
      <c r="S1" s="21"/>
      <c r="T1" s="21"/>
      <c r="U1" s="21"/>
    </row>
    <row r="2" spans="1:22" ht="15.6" x14ac:dyDescent="0.3">
      <c r="A2" s="844" t="str">
        <f>Index!$A$2</f>
        <v>2022 ACFR Worksheets for Nonmajor Component Units</v>
      </c>
      <c r="B2" s="844"/>
      <c r="C2" s="844"/>
      <c r="D2" s="844"/>
      <c r="E2" s="844"/>
      <c r="F2" s="844"/>
      <c r="G2" s="844"/>
      <c r="H2" s="844"/>
      <c r="I2" s="844"/>
      <c r="J2" s="844"/>
      <c r="K2" s="261"/>
      <c r="L2" s="256" t="s">
        <v>372</v>
      </c>
      <c r="M2" s="257">
        <v>0.15</v>
      </c>
      <c r="N2" s="115"/>
      <c r="O2" s="115"/>
      <c r="P2" s="115"/>
      <c r="Q2" s="115"/>
      <c r="R2" s="115"/>
      <c r="S2" s="115"/>
      <c r="T2" s="115"/>
      <c r="U2" s="115"/>
    </row>
    <row r="3" spans="1:22" ht="15.6" x14ac:dyDescent="0.3">
      <c r="A3" s="900" t="s">
        <v>737</v>
      </c>
      <c r="B3" s="900"/>
      <c r="C3" s="900"/>
      <c r="D3" s="900"/>
      <c r="E3" s="900"/>
      <c r="F3" s="900"/>
      <c r="G3" s="900"/>
      <c r="H3" s="900"/>
      <c r="I3" s="900"/>
      <c r="J3" s="900"/>
      <c r="K3" s="261"/>
      <c r="L3" s="256" t="s">
        <v>373</v>
      </c>
      <c r="M3" s="258">
        <v>2000000</v>
      </c>
      <c r="N3" s="115"/>
      <c r="O3" s="115"/>
      <c r="P3" s="115"/>
      <c r="Q3" s="115"/>
      <c r="R3" s="115"/>
      <c r="S3" s="115"/>
      <c r="T3" s="115"/>
      <c r="U3" s="115"/>
    </row>
    <row r="4" spans="1:22" ht="13.8" x14ac:dyDescent="0.3">
      <c r="C4" s="254"/>
      <c r="E4"/>
      <c r="I4" s="116"/>
      <c r="K4" s="262"/>
      <c r="L4" s="256" t="s">
        <v>374</v>
      </c>
      <c r="M4" s="259">
        <f ca="1">COUNTIF(L6:L147,"=C")</f>
        <v>0</v>
      </c>
    </row>
    <row r="5" spans="1:22" s="117" customFormat="1" ht="15" customHeight="1" x14ac:dyDescent="0.25">
      <c r="A5" s="266"/>
      <c r="B5" s="232"/>
      <c r="C5" s="244"/>
      <c r="E5" s="39" t="s">
        <v>357</v>
      </c>
      <c r="F5" s="898" t="str">
        <f>Index!$D$10</f>
        <v>0A</v>
      </c>
      <c r="G5" s="898"/>
      <c r="H5" s="898"/>
      <c r="I5" s="898"/>
      <c r="J5"/>
      <c r="K5"/>
      <c r="L5"/>
      <c r="N5" s="118"/>
      <c r="V5" s="119"/>
    </row>
    <row r="6" spans="1:22" s="117" customFormat="1" ht="15" customHeight="1" x14ac:dyDescent="0.25">
      <c r="A6" s="266" t="s">
        <v>20</v>
      </c>
      <c r="B6" s="897">
        <f>Index!$D$13</f>
        <v>2611</v>
      </c>
      <c r="C6" s="897"/>
      <c r="E6" s="39" t="s">
        <v>358</v>
      </c>
      <c r="F6" s="898" t="str">
        <f>Index!$D$11</f>
        <v>NC Housing Finance Agency</v>
      </c>
      <c r="G6" s="898"/>
      <c r="H6" s="898"/>
      <c r="I6" s="898"/>
      <c r="N6" s="120"/>
      <c r="O6" s="120"/>
      <c r="P6" s="120"/>
      <c r="Q6" s="120"/>
      <c r="R6" s="120"/>
      <c r="S6" s="120"/>
      <c r="T6" s="120"/>
      <c r="U6" s="121"/>
      <c r="V6" s="119"/>
    </row>
    <row r="7" spans="1:22" s="117" customFormat="1" ht="15" customHeight="1" x14ac:dyDescent="0.25">
      <c r="A7" s="265" t="s">
        <v>196</v>
      </c>
      <c r="B7" s="899">
        <f>Index!$D$15</f>
        <v>0</v>
      </c>
      <c r="C7" s="899"/>
      <c r="D7" s="232"/>
      <c r="E7" s="39" t="s">
        <v>359</v>
      </c>
      <c r="F7" s="899" t="str">
        <f>CONCATENATE(Index!$D$14,"  ",Index!$D$16)</f>
        <v xml:space="preserve">  </v>
      </c>
      <c r="G7" s="899"/>
      <c r="H7" s="899"/>
      <c r="I7" s="899"/>
      <c r="V7" s="119"/>
    </row>
    <row r="8" spans="1:22" s="123" customFormat="1" ht="12" customHeight="1" thickBot="1" x14ac:dyDescent="0.3">
      <c r="A8" s="122"/>
      <c r="B8" s="122"/>
      <c r="C8" s="245"/>
      <c r="D8" s="122"/>
      <c r="E8" s="122"/>
      <c r="F8" s="122"/>
      <c r="G8" s="122"/>
      <c r="H8" s="122"/>
      <c r="I8" s="122"/>
      <c r="J8" s="122"/>
      <c r="K8" s="138"/>
      <c r="L8" s="138"/>
    </row>
    <row r="9" spans="1:22" ht="11.25" customHeight="1" x14ac:dyDescent="0.3">
      <c r="C9" s="358" t="s">
        <v>645</v>
      </c>
      <c r="E9" s="358" t="s">
        <v>652</v>
      </c>
      <c r="L9" s="260" t="s">
        <v>375</v>
      </c>
    </row>
    <row r="10" spans="1:22" ht="12.75" customHeight="1" x14ac:dyDescent="0.3">
      <c r="A10" s="139"/>
      <c r="B10" s="139"/>
      <c r="C10" s="247" t="str">
        <f>CONCATENATE("FY ",YEAR(Data!$A$3),"-",YEAR(Data!$A$2))</f>
        <v>FY 2021-2022</v>
      </c>
      <c r="D10" s="141"/>
      <c r="E10" s="140" t="str">
        <f>CONCATENATE("FY ",YEAR(Data!$A$3)-1,"-",YEAR(Data!$A$2)-1)</f>
        <v>FY 2020-2021</v>
      </c>
      <c r="F10" s="142"/>
      <c r="G10" s="140" t="s">
        <v>166</v>
      </c>
      <c r="H10" s="143"/>
      <c r="I10" s="144" t="s">
        <v>167</v>
      </c>
      <c r="J10" s="143"/>
      <c r="L10" s="144"/>
    </row>
    <row r="11" spans="1:22" x14ac:dyDescent="0.25">
      <c r="A11" s="124" t="s">
        <v>260</v>
      </c>
      <c r="B11" s="124"/>
    </row>
    <row r="12" spans="1:22" x14ac:dyDescent="0.25">
      <c r="A12" s="848" t="s">
        <v>236</v>
      </c>
      <c r="B12" s="848"/>
      <c r="C12" s="337">
        <f ca="1">IF(ISNA(INDEX(ACFR_Stmts!$B$13:$F$113,MATCH($A12,ACFR_Stmts!$B$13:$B$113,0),5)),0,(INDEX(ACFR_Stmts!$B$13:$F$113,MATCH($A12,ACFR_Stmts!$B$13:$B$113,0),5)))</f>
        <v>0</v>
      </c>
      <c r="E12" s="337">
        <f>IF(ISNA(INDEX(PriorYrBal!$A$6:$L$113,MATCH($A12,PriorYrBal!$A$6:$A$113,0),MATCH($B$6,PriorYrBal!$A$9:$L$9,0))),0,(INDEX(PriorYrBal!$A$6:$L$113,MATCH($A12,PriorYrBal!$A$6:$A$113,0),MATCH($B$6,PriorYrBal!$A$9:$L$9,0))))</f>
        <v>40028000</v>
      </c>
      <c r="G12" s="359">
        <f t="shared" ref="G12:G32" ca="1" si="0">C12-E12</f>
        <v>-40028000</v>
      </c>
      <c r="I12" s="322">
        <f t="shared" ref="I12:I32" ca="1" si="1">IF(E12=0,0,G12/E12)</f>
        <v>-1</v>
      </c>
      <c r="L12" s="263" t="str">
        <f ca="1">IF($C$32=0,"",IF(AND(ABS(G12)&gt;$M$3,ABS(I12)&gt;$M$2),"C",IF(AND(ABS(C12+E12)&gt;0,E12=0,ABS(G12)&gt;$M$3),"C","")))</f>
        <v/>
      </c>
      <c r="N12" s="264"/>
    </row>
    <row r="13" spans="1:22" x14ac:dyDescent="0.25">
      <c r="A13" s="848" t="s">
        <v>237</v>
      </c>
      <c r="B13" s="848"/>
      <c r="C13" s="145">
        <f ca="1">IF(ISNA(INDEX(ACFR_Stmts!$B$13:$F$113,MATCH($A13,ACFR_Stmts!$B$13:$B$113,0),5)),0,(INDEX(ACFR_Stmts!$B$13:$F$113,MATCH($A13,ACFR_Stmts!$B$13:$B$113,0),5)))</f>
        <v>0</v>
      </c>
      <c r="D13" s="250"/>
      <c r="E13" s="145">
        <f>IF(ISNA(INDEX(PriorYrBal!$A$6:$L$113,MATCH($A13,PriorYrBal!$A$6:$A$113,0),MATCH($B$6,PriorYrBal!$A$9:$L$9,0))),0,(INDEX(PriorYrBal!$A$6:$L$113,MATCH($A13,PriorYrBal!$A$6:$A$113,0),MATCH($B$6,PriorYrBal!$A$9:$L$9,0))))</f>
        <v>0</v>
      </c>
      <c r="G13" s="359">
        <f t="shared" ca="1" si="0"/>
        <v>0</v>
      </c>
      <c r="I13" s="146">
        <f t="shared" si="1"/>
        <v>0</v>
      </c>
      <c r="L13" s="263" t="str">
        <f ca="1">IF($C$32=0,"",IF(AND(ABS(G13)&gt;$M$3,ABS(I13)&gt;$M$2),"C",IF(AND(ABS(C13+E13)&gt;0,E13=0,ABS(G13)&gt;$M$3),"C","")))</f>
        <v/>
      </c>
    </row>
    <row r="14" spans="1:22" x14ac:dyDescent="0.25">
      <c r="A14" s="848" t="s">
        <v>257</v>
      </c>
      <c r="B14" s="848"/>
      <c r="C14" s="145">
        <f ca="1">IF(ISNA(INDEX(ACFR_Stmts!$B$13:$F$113,MATCH($A14,ACFR_Stmts!$B$13:$B$113,0),5)),0,(INDEX(ACFR_Stmts!$B$13:$F$113,MATCH($A14,ACFR_Stmts!$B$13:$B$113,0),5)))</f>
        <v>0</v>
      </c>
      <c r="D14" s="250"/>
      <c r="E14" s="145">
        <f>IF(ISNA(INDEX(PriorYrBal!$A$6:$L$113,MATCH($A14,PriorYrBal!$A$6:$A$113,0),MATCH($B$6,PriorYrBal!$A$9:$L$9,0))),0,(INDEX(PriorYrBal!$A$6:$L$113,MATCH($A14,PriorYrBal!$A$6:$A$113,0),MATCH($B$6,PriorYrBal!$A$9:$L$9,0))))</f>
        <v>12711000</v>
      </c>
      <c r="G14" s="359">
        <f t="shared" ca="1" si="0"/>
        <v>-12711000</v>
      </c>
      <c r="I14" s="146">
        <f t="shared" ca="1" si="1"/>
        <v>-1</v>
      </c>
      <c r="L14" s="263" t="str">
        <f ca="1">IF($C$32=0,"",IF(AND(ABS(G14)&gt;$M$3,ABS(I14)&gt;$M$2),"C",IF(AND(ABS(C14+E14)&gt;0,E14=0,ABS(G14)&gt;$M$3),"C","")))</f>
        <v/>
      </c>
    </row>
    <row r="15" spans="1:22" x14ac:dyDescent="0.25">
      <c r="A15" s="848" t="s">
        <v>628</v>
      </c>
      <c r="B15" s="848"/>
      <c r="C15" s="145">
        <f ca="1">IF(ISNA(INDEX(ACFR_Stmts!$B$13:$F$113,MATCH($A15,ACFR_Stmts!$B$13:$B$113,0),5)),0,(INDEX(ACFR_Stmts!$B$13:$F$113,MATCH($A15,ACFR_Stmts!$B$13:$B$113,0),5)))</f>
        <v>0</v>
      </c>
      <c r="D15" s="250"/>
      <c r="E15" s="145">
        <f>IF(ISNA(INDEX(PriorYrBal!$A$6:$L$113,MATCH($A15,PriorYrBal!$A$6:$A$113,0),MATCH($B$6,PriorYrBal!$A$9:$L$9,0))),0,(INDEX(PriorYrBal!$A$6:$L$113,MATCH($A15,PriorYrBal!$A$6:$A$113,0),MATCH($B$6,PriorYrBal!$A$9:$L$9,0))))</f>
        <v>0</v>
      </c>
      <c r="G15" s="359">
        <f t="shared" ca="1" si="0"/>
        <v>0</v>
      </c>
      <c r="I15" s="146">
        <f t="shared" si="1"/>
        <v>0</v>
      </c>
      <c r="L15" s="263" t="str">
        <f ca="1">IF($C$32=0,"",IF(AND(ABS(G15)&gt;$M$3,ABS(I15)&gt;$M$2),"C",IF(AND(ABS(C15+E15)&gt;0,E15=0,ABS(G15)&gt;$M$3),"C","")))</f>
        <v/>
      </c>
    </row>
    <row r="16" spans="1:22" x14ac:dyDescent="0.25">
      <c r="A16" s="848" t="s">
        <v>629</v>
      </c>
      <c r="B16" s="894"/>
      <c r="C16" s="145">
        <f>IF(ISNA(INDEX(ACFR_Stmts!$B$13:$F$113,MATCH($A16,ACFR_Stmts!$B$13:$B$113,0),5)),0,(INDEX(ACFR_Stmts!$B$13:$F$113,MATCH($A16,ACFR_Stmts!$B$13:$B$113,0),5)))</f>
        <v>0</v>
      </c>
      <c r="D16" s="250"/>
      <c r="E16" s="145">
        <f>IF(ISNA(INDEX(PriorYrBal!$A$6:$L$113,MATCH($A16,PriorYrBal!$A$6:$A$113,0),MATCH($B$6,PriorYrBal!$A$9:$L$9,0))),0,(INDEX(PriorYrBal!$A$6:$L$113,MATCH($A16,PriorYrBal!$A$6:$A$113,0),MATCH($B$6,PriorYrBal!$A$9:$L$9,0))))</f>
        <v>0</v>
      </c>
      <c r="G16" s="359">
        <f t="shared" si="0"/>
        <v>0</v>
      </c>
      <c r="I16" s="146">
        <f t="shared" si="1"/>
        <v>0</v>
      </c>
      <c r="L16" s="263" t="str">
        <f ca="1">IF($C$32=0,"",IF(AND(ABS(G16)&gt;$M$3,ABS(I16)&gt;$M$2),"C",IF(AND(ABS(C16+E16)&gt;0,E16=0,ABS(G16)&gt;$M$3),"C","")))</f>
        <v/>
      </c>
    </row>
    <row r="17" spans="1:14" s="741" customFormat="1" x14ac:dyDescent="0.25">
      <c r="A17" s="848" t="s">
        <v>1350</v>
      </c>
      <c r="B17" s="894"/>
      <c r="C17" s="145">
        <f ca="1">IF(ISNA(INDEX(ACFR_Stmts!$B$13:$F$113,MATCH($A17,ACFR_Stmts!$B$13:$B$113,0),5)),0,(INDEX(ACFR_Stmts!$B$13:$F$113,MATCH($A17,ACFR_Stmts!$B$13:$B$113,0),5)))</f>
        <v>0</v>
      </c>
      <c r="D17" s="250"/>
      <c r="E17" s="145">
        <f>IF(ISNA(INDEX(PriorYrBal!$A$6:$L$113,MATCH($A17,PriorYrBal!$A$6:$A$113,0),MATCH($B$6,PriorYrBal!$A$9:$L$9,0))),0,(INDEX(PriorYrBal!$A$6:$L$113,MATCH($A17,PriorYrBal!$A$6:$A$113,0),MATCH($B$6,PriorYrBal!$A$9:$L$9,0))))</f>
        <v>0</v>
      </c>
      <c r="G17" s="359">
        <f t="shared" ca="1" si="0"/>
        <v>0</v>
      </c>
      <c r="I17" s="146">
        <f t="shared" si="1"/>
        <v>0</v>
      </c>
      <c r="L17" s="263"/>
    </row>
    <row r="18" spans="1:14" x14ac:dyDescent="0.25">
      <c r="A18" s="894" t="s">
        <v>258</v>
      </c>
      <c r="B18" s="894"/>
      <c r="C18" s="145">
        <f ca="1">IF(ISNA(INDEX(ACFR_Stmts!$B$13:$F$113,MATCH($A18,ACFR_Stmts!$B$13:$B$113,0),5)),0,(INDEX(ACFR_Stmts!$B$13:$F$113,MATCH($A18,ACFR_Stmts!$B$13:$B$113,0),5)))</f>
        <v>0</v>
      </c>
      <c r="D18" s="250"/>
      <c r="E18" s="145">
        <f>IF(ISNA(INDEX(PriorYrBal!$A$6:$L$113,MATCH($A18,PriorYrBal!$A$6:$A$113,0),MATCH($B$6,PriorYrBal!$A$9:$L$9,0))),0,(INDEX(PriorYrBal!$A$6:$L$113,MATCH($A18,PriorYrBal!$A$6:$A$113,0),MATCH($B$6,PriorYrBal!$A$9:$L$9,0))))</f>
        <v>0</v>
      </c>
      <c r="G18" s="359">
        <f t="shared" ca="1" si="0"/>
        <v>0</v>
      </c>
      <c r="I18" s="146">
        <f t="shared" si="1"/>
        <v>0</v>
      </c>
      <c r="L18" s="263" t="str">
        <f ca="1">IF($C$32=0,"",IF(AND(ABS(G18)&gt;$M$3,ABS(I18)&gt;$M$2),"C",IF(AND(ABS(C18+E18)&gt;0,E18=0,ABS(G18)&gt;$M$3),"C","")))</f>
        <v/>
      </c>
    </row>
    <row r="19" spans="1:14" x14ac:dyDescent="0.25">
      <c r="A19" s="894" t="s">
        <v>268</v>
      </c>
      <c r="B19" s="894"/>
      <c r="C19" s="145">
        <f ca="1">IF(ISNA(INDEX(ACFR_Stmts!$B$13:$F$113,MATCH($A19,ACFR_Stmts!$B$13:$B$113,0),5)),0,(INDEX(ACFR_Stmts!$B$13:$F$113,MATCH($A19,ACFR_Stmts!$B$13:$B$113,0),5)))</f>
        <v>0</v>
      </c>
      <c r="D19" s="250"/>
      <c r="E19" s="145">
        <f>IF(ISNA(INDEX(PriorYrBal!$A$6:$L$113,MATCH($A19,PriorYrBal!$A$6:$A$113,0),MATCH($B$6,PriorYrBal!$A$9:$L$9,0))),0,(INDEX(PriorYrBal!$A$6:$L$113,MATCH($A19,PriorYrBal!$A$6:$A$113,0),MATCH($B$6,PriorYrBal!$A$9:$L$9,0))))</f>
        <v>0</v>
      </c>
      <c r="G19" s="359">
        <f t="shared" ca="1" si="0"/>
        <v>0</v>
      </c>
      <c r="I19" s="146">
        <f t="shared" si="1"/>
        <v>0</v>
      </c>
      <c r="L19" s="263" t="str">
        <f ca="1">IF($C$32=0,"",IF(AND(ABS(G19)&gt;$M$3,ABS(I19)&gt;$M$2),"C",IF(AND(ABS(C19+E19)&gt;0,E19=0,ABS(G19)&gt;$M$3),"C","")))</f>
        <v/>
      </c>
    </row>
    <row r="20" spans="1:14" x14ac:dyDescent="0.25">
      <c r="A20" s="894" t="s">
        <v>259</v>
      </c>
      <c r="B20" s="894"/>
      <c r="C20" s="145">
        <f ca="1">IF(ISNA(INDEX(ACFR_Stmts!$B$13:$F$113,MATCH($A20,ACFR_Stmts!$B$13:$B$113,0),5)),0,(INDEX(ACFR_Stmts!$B$13:$F$113,MATCH($A20,ACFR_Stmts!$B$13:$B$113,0),5)))</f>
        <v>0</v>
      </c>
      <c r="D20" s="250"/>
      <c r="E20" s="145">
        <f>IF(ISNA(INDEX(PriorYrBal!$A$6:$L$113,MATCH($A20,PriorYrBal!$A$6:$A$113,0),MATCH($B$6,PriorYrBal!$A$9:$L$9,0))),0,(INDEX(PriorYrBal!$A$6:$L$113,MATCH($A20,PriorYrBal!$A$6:$A$113,0),MATCH($B$6,PriorYrBal!$A$9:$L$9,0))))</f>
        <v>411317000</v>
      </c>
      <c r="G20" s="359">
        <f t="shared" ca="1" si="0"/>
        <v>-411317000</v>
      </c>
      <c r="I20" s="146">
        <f t="shared" ca="1" si="1"/>
        <v>-1</v>
      </c>
      <c r="L20" s="263" t="str">
        <f ca="1">IF($C$32=0,"",IF(AND(ABS(G20)&gt;$M$3,ABS(I20)&gt;$M$2),"C",IF(AND(ABS(C20+E20)&gt;0,E20=0,ABS(G20)&gt;$M$3),"C","")))</f>
        <v/>
      </c>
    </row>
    <row r="21" spans="1:14" s="784" customFormat="1" x14ac:dyDescent="0.25">
      <c r="A21" s="862" t="s">
        <v>1416</v>
      </c>
      <c r="B21" s="896"/>
      <c r="C21" s="145">
        <f ca="1">IF(ISNA(INDEX(ACFR_Stmts!$B$13:$F$113,MATCH($A21,ACFR_Stmts!$B$13:$B$113,0),5)),0,(INDEX(ACFR_Stmts!$B$13:$F$113,MATCH($A21,ACFR_Stmts!$B$13:$B$113,0),5)))</f>
        <v>0</v>
      </c>
      <c r="D21" s="250"/>
      <c r="E21" s="145">
        <f>IF(ISNA(INDEX(PriorYrBal!$A$6:$L$113,MATCH($A21,PriorYrBal!$A$6:$A$113,0),MATCH($B$6,PriorYrBal!$A$9:$L$9,0))),0,(INDEX(PriorYrBal!$A$6:$L$113,MATCH($A21,PriorYrBal!$A$6:$A$113,0),MATCH($B$6,PriorYrBal!$A$9:$L$9,0))))</f>
        <v>0</v>
      </c>
      <c r="G21" s="359">
        <f t="shared" ca="1" si="0"/>
        <v>0</v>
      </c>
      <c r="I21" s="146">
        <f t="shared" si="1"/>
        <v>0</v>
      </c>
      <c r="L21" s="263"/>
    </row>
    <row r="22" spans="1:14" x14ac:dyDescent="0.25">
      <c r="A22" s="851" t="s">
        <v>991</v>
      </c>
      <c r="B22" s="901"/>
      <c r="C22" s="145">
        <f ca="1">IF(ISNA(INDEX(ACFR_Stmts!$B$13:$F$113,MATCH($A22,ACFR_Stmts!$B$13:$B$113,0),5)),0,(INDEX(ACFR_Stmts!$B$13:$F$113,MATCH($A22,ACFR_Stmts!$B$13:$B$113,0),5)))</f>
        <v>0</v>
      </c>
      <c r="D22" s="250"/>
      <c r="E22" s="145">
        <f>IF(ISNA(INDEX(PriorYrBal!$A$6:$L$113,MATCH($A22,PriorYrBal!$A$6:$A$113,0),MATCH($B$6,PriorYrBal!$A$9:$L$9,0))),0,(INDEX(PriorYrBal!$A$6:$L$113,MATCH($A22,PriorYrBal!$A$6:$A$113,0),MATCH($B$6,PriorYrBal!$A$9:$L$9,0))))</f>
        <v>0</v>
      </c>
      <c r="G22" s="359">
        <f t="shared" ca="1" si="0"/>
        <v>0</v>
      </c>
      <c r="I22" s="146">
        <f t="shared" si="1"/>
        <v>0</v>
      </c>
      <c r="L22" s="263" t="str">
        <f t="shared" ref="L22:L31" ca="1" si="2">IF($C$32=0,"",IF(AND(ABS(G22)&gt;$M$3,ABS(I22)&gt;$M$2),"C",IF(AND(ABS(C22+E22)&gt;0,E22=0,ABS(G22)&gt;$M$3),"C","")))</f>
        <v/>
      </c>
      <c r="M22" s="500"/>
    </row>
    <row r="23" spans="1:14" x14ac:dyDescent="0.25">
      <c r="A23" s="852" t="s">
        <v>1110</v>
      </c>
      <c r="B23" s="852"/>
      <c r="C23" s="145">
        <f ca="1">IF(ISNA(INDEX(ACFR_Stmts!$B$13:$F$113,MATCH($A23,ACFR_Stmts!$B$13:$B$113,0),5)),0,(INDEX(ACFR_Stmts!$B$13:$F$113,MATCH($A23,ACFR_Stmts!$B$13:$B$113,0),5)))</f>
        <v>0</v>
      </c>
      <c r="D23" s="250"/>
      <c r="E23" s="145">
        <f>IF(ISNA(INDEX(PriorYrBal!$A$6:$L$113,MATCH($A23,PriorYrBal!$A$6:$A$113,0),MATCH($B$6,PriorYrBal!$A$9:$L$9,0))),0,(INDEX(PriorYrBal!$A$6:$L$113,MATCH($A23,PriorYrBal!$A$6:$A$113,0),MATCH($B$6,PriorYrBal!$A$9:$L$9,0))))</f>
        <v>24000</v>
      </c>
      <c r="G23" s="359">
        <f t="shared" ref="G23" ca="1" si="3">C23-E23</f>
        <v>-24000</v>
      </c>
      <c r="I23" s="146">
        <f t="shared" ref="I23" ca="1" si="4">IF(E23=0,0,G23/E23)</f>
        <v>-1</v>
      </c>
      <c r="L23" s="263" t="str">
        <f t="shared" ca="1" si="2"/>
        <v/>
      </c>
      <c r="M23" s="500"/>
    </row>
    <row r="24" spans="1:14" x14ac:dyDescent="0.25">
      <c r="A24" s="848" t="s">
        <v>341</v>
      </c>
      <c r="B24" s="848"/>
      <c r="C24" s="145">
        <f ca="1">IF(ISNA(INDEX(ACFR_Stmts!$B$13:$F$113,MATCH($A24,ACFR_Stmts!$B$13:$B$113,0),5)),0,(INDEX(ACFR_Stmts!$B$13:$F$113,MATCH($A24,ACFR_Stmts!$B$13:$B$113,0),5)))</f>
        <v>0</v>
      </c>
      <c r="D24" s="250"/>
      <c r="E24" s="145">
        <f>IF(ISNA(INDEX(PriorYrBal!$A$6:$L$113,MATCH($A24,PriorYrBal!$A$6:$A$113,0),MATCH($B$6,PriorYrBal!$A$9:$L$9,0))),0,(INDEX(PriorYrBal!$A$6:$L$113,MATCH($A24,PriorYrBal!$A$6:$A$113,0),MATCH($B$6,PriorYrBal!$A$9:$L$9,0))))</f>
        <v>762842000</v>
      </c>
      <c r="G24" s="359">
        <f t="shared" ca="1" si="0"/>
        <v>-762842000</v>
      </c>
      <c r="I24" s="146">
        <f t="shared" ca="1" si="1"/>
        <v>-1</v>
      </c>
      <c r="L24" s="263" t="str">
        <f t="shared" ca="1" si="2"/>
        <v/>
      </c>
    </row>
    <row r="25" spans="1:14" x14ac:dyDescent="0.25">
      <c r="A25" s="848" t="s">
        <v>120</v>
      </c>
      <c r="B25" s="848"/>
      <c r="C25" s="145">
        <f ca="1">IF(ISNA(INDEX(ACFR_Stmts!$B$13:$F$113,MATCH($A25,ACFR_Stmts!$B$13:$B$113,0),5)),0,(INDEX(ACFR_Stmts!$B$13:$F$113,MATCH($A25,ACFR_Stmts!$B$13:$B$113,0),5)))</f>
        <v>0</v>
      </c>
      <c r="D25" s="250"/>
      <c r="E25" s="145">
        <f>IF(ISNA(INDEX(PriorYrBal!$A$6:$L$113,MATCH($A25,PriorYrBal!$A$6:$A$113,0),MATCH($B$6,PriorYrBal!$A$9:$L$9,0))),0,(INDEX(PriorYrBal!$A$6:$L$113,MATCH($A25,PriorYrBal!$A$6:$A$113,0),MATCH($B$6,PriorYrBal!$A$9:$L$9,0))))</f>
        <v>1250508000</v>
      </c>
      <c r="G25" s="359">
        <f t="shared" ca="1" si="0"/>
        <v>-1250508000</v>
      </c>
      <c r="I25" s="146">
        <f t="shared" ca="1" si="1"/>
        <v>-1</v>
      </c>
      <c r="L25" s="263" t="str">
        <f t="shared" ca="1" si="2"/>
        <v/>
      </c>
    </row>
    <row r="26" spans="1:14" x14ac:dyDescent="0.25">
      <c r="A26" s="848" t="s">
        <v>630</v>
      </c>
      <c r="B26" s="848"/>
      <c r="C26" s="145">
        <f ca="1">IF(ISNA(INDEX(ACFR_Stmts!$B$13:$F$113,MATCH($A26,ACFR_Stmts!$B$13:$B$113,0),5)),0,(INDEX(ACFR_Stmts!$B$13:$F$113,MATCH($A26,ACFR_Stmts!$B$13:$B$113,0),5)))</f>
        <v>0</v>
      </c>
      <c r="D26" s="250"/>
      <c r="E26" s="145">
        <f>IF(ISNA(INDEX(PriorYrBal!$A$6:$L$113,MATCH($A26,PriorYrBal!$A$6:$A$113,0),MATCH($B$6,PriorYrBal!$A$9:$L$9,0))),0,(INDEX(PriorYrBal!$A$6:$L$113,MATCH($A26,PriorYrBal!$A$6:$A$113,0),MATCH($B$6,PriorYrBal!$A$9:$L$9,0))))</f>
        <v>0</v>
      </c>
      <c r="G26" s="359">
        <f ca="1">C26-E26</f>
        <v>0</v>
      </c>
      <c r="I26" s="146">
        <f>IF(E26=0,0,G26/E26)</f>
        <v>0</v>
      </c>
      <c r="L26" s="263" t="str">
        <f t="shared" ca="1" si="2"/>
        <v/>
      </c>
    </row>
    <row r="27" spans="1:14" x14ac:dyDescent="0.25">
      <c r="A27" s="848" t="s">
        <v>631</v>
      </c>
      <c r="B27" s="848"/>
      <c r="C27" s="145">
        <f ca="1">IF(ISNA(INDEX(ACFR_Stmts!$B$13:$F$113,MATCH($A27,ACFR_Stmts!$B$13:$B$113,0),5)),0,(INDEX(ACFR_Stmts!$B$13:$F$113,MATCH($A27,ACFR_Stmts!$B$13:$B$113,0),5)))</f>
        <v>0</v>
      </c>
      <c r="D27" s="250"/>
      <c r="E27" s="145">
        <f>IF(ISNA(INDEX(PriorYrBal!$A$6:$L$113,MATCH($A27,PriorYrBal!$A$6:$A$113,0),MATCH($B$6,PriorYrBal!$A$9:$L$9,0))),0,(INDEX(PriorYrBal!$A$6:$L$113,MATCH($A27,PriorYrBal!$A$6:$A$113,0),MATCH($B$6,PriorYrBal!$A$9:$L$9,0))))</f>
        <v>0</v>
      </c>
      <c r="G27" s="359">
        <f t="shared" ca="1" si="0"/>
        <v>0</v>
      </c>
      <c r="I27" s="146">
        <f t="shared" si="1"/>
        <v>0</v>
      </c>
      <c r="L27" s="263" t="str">
        <f t="shared" ca="1" si="2"/>
        <v/>
      </c>
    </row>
    <row r="28" spans="1:14" x14ac:dyDescent="0.25">
      <c r="A28" s="848" t="s">
        <v>624</v>
      </c>
      <c r="B28" s="848"/>
      <c r="C28" s="145">
        <f ca="1">IF(ISNA(INDEX(ACFR_Stmts!$B$13:$F$113,MATCH($A28,ACFR_Stmts!$B$13:$B$113,0),5)),0,(INDEX(ACFR_Stmts!$B$13:$F$113,MATCH($A28,ACFR_Stmts!$B$13:$B$113,0),5)))</f>
        <v>0</v>
      </c>
      <c r="D28" s="250"/>
      <c r="E28" s="145">
        <f>IF(ISNA(INDEX(PriorYrBal!$A$6:$L$113,MATCH($A28,PriorYrBal!$A$6:$A$113,0),MATCH($B$6,PriorYrBal!$A$9:$L$9,0))),0,(INDEX(PriorYrBal!$A$6:$L$113,MATCH($A28,PriorYrBal!$A$6:$A$113,0),MATCH($B$6,PriorYrBal!$A$9:$L$9,0))))</f>
        <v>0</v>
      </c>
      <c r="G28" s="359">
        <f ca="1">C28-E28</f>
        <v>0</v>
      </c>
      <c r="I28" s="146">
        <f>IF(E28=0,0,G28/E28)</f>
        <v>0</v>
      </c>
      <c r="L28" s="263" t="str">
        <f t="shared" ca="1" si="2"/>
        <v/>
      </c>
    </row>
    <row r="29" spans="1:14" x14ac:dyDescent="0.25">
      <c r="A29" s="848" t="s">
        <v>1111</v>
      </c>
      <c r="B29" s="848"/>
      <c r="C29" s="145">
        <f ca="1">IF(ISNA(INDEX(ACFR_Stmts!$B$13:$F$113,MATCH($A29,ACFR_Stmts!$B$13:$B$113,0),5)),0,(INDEX(ACFR_Stmts!$B$13:$F$113,MATCH($A29,ACFR_Stmts!$B$13:$B$113,0),5)))</f>
        <v>0</v>
      </c>
      <c r="D29" s="250"/>
      <c r="E29" s="145">
        <f>IF(ISNA(INDEX(PriorYrBal!$A$6:$L$113,MATCH($A29,PriorYrBal!$A$6:$A$113,0),MATCH($B$6,PriorYrBal!$A$9:$L$9,0))),0,(INDEX(PriorYrBal!$A$6:$L$113,MATCH($A29,PriorYrBal!$A$6:$A$113,0),MATCH($B$6,PriorYrBal!$A$9:$L$9,0))))</f>
        <v>0</v>
      </c>
      <c r="G29" s="359">
        <f ca="1">C29-E29</f>
        <v>0</v>
      </c>
      <c r="I29" s="146">
        <f>IF(E29=0,0,G29/E29)</f>
        <v>0</v>
      </c>
      <c r="L29" s="263" t="str">
        <f t="shared" ca="1" si="2"/>
        <v/>
      </c>
      <c r="M29" s="558"/>
      <c r="N29" s="558"/>
    </row>
    <row r="30" spans="1:14" x14ac:dyDescent="0.25">
      <c r="A30" s="894" t="s">
        <v>269</v>
      </c>
      <c r="B30" s="894"/>
      <c r="C30" s="145">
        <f ca="1">IF(ISNA(INDEX(ACFR_Stmts!$B$13:$F$113,MATCH($A30,ACFR_Stmts!$B$13:$B$113,0),5)),0,(INDEX(ACFR_Stmts!$B$13:$F$113,MATCH($A30,ACFR_Stmts!$B$13:$B$113,0),5)))</f>
        <v>0</v>
      </c>
      <c r="D30" s="250"/>
      <c r="E30" s="145">
        <f>IF(ISNA(INDEX(PriorYrBal!$A$6:$L$113,MATCH($A30,PriorYrBal!$A$6:$A$113,0),MATCH($B$6,PriorYrBal!$A$9:$L$9,0))),0,(INDEX(PriorYrBal!$A$6:$L$113,MATCH($A30,PriorYrBal!$A$6:$A$113,0),MATCH($B$6,PriorYrBal!$A$9:$L$9,0))))</f>
        <v>0</v>
      </c>
      <c r="G30" s="359">
        <f t="shared" ca="1" si="0"/>
        <v>0</v>
      </c>
      <c r="I30" s="146">
        <f t="shared" si="1"/>
        <v>0</v>
      </c>
      <c r="L30" s="263" t="str">
        <f t="shared" ca="1" si="2"/>
        <v/>
      </c>
    </row>
    <row r="31" spans="1:14" x14ac:dyDescent="0.25">
      <c r="A31" s="894" t="s">
        <v>270</v>
      </c>
      <c r="B31" s="894"/>
      <c r="C31" s="145">
        <f ca="1">IF(ISNA(INDEX(ACFR_Stmts!$B$13:$F$113,MATCH($A31,ACFR_Stmts!$B$13:$B$113,0),5)),0,(INDEX(ACFR_Stmts!$B$13:$F$113,MATCH($A31,ACFR_Stmts!$B$13:$B$113,0),5)))</f>
        <v>0</v>
      </c>
      <c r="D31" s="250"/>
      <c r="E31" s="145">
        <f>IF(ISNA(INDEX(PriorYrBal!$A$6:$L$113,MATCH($A31,PriorYrBal!$A$6:$A$113,0),MATCH($B$6,PriorYrBal!$A$9:$L$9,0))),0,(INDEX(PriorYrBal!$A$6:$L$113,MATCH($A31,PriorYrBal!$A$6:$A$113,0),MATCH($B$6,PriorYrBal!$A$9:$L$9,0))))</f>
        <v>2399000</v>
      </c>
      <c r="G31" s="359">
        <f t="shared" ca="1" si="0"/>
        <v>-2399000</v>
      </c>
      <c r="I31" s="146">
        <f t="shared" ca="1" si="1"/>
        <v>-1</v>
      </c>
      <c r="L31" s="263" t="str">
        <f t="shared" ca="1" si="2"/>
        <v/>
      </c>
    </row>
    <row r="32" spans="1:14" x14ac:dyDescent="0.25">
      <c r="A32" s="894" t="s">
        <v>368</v>
      </c>
      <c r="B32" s="894"/>
      <c r="C32" s="316">
        <f ca="1">SUM(C12:C31)</f>
        <v>0</v>
      </c>
      <c r="D32" s="250"/>
      <c r="E32" s="316">
        <f>SUM(E12:E31)</f>
        <v>2479829000</v>
      </c>
      <c r="G32" s="359">
        <f t="shared" ca="1" si="0"/>
        <v>-2479829000</v>
      </c>
      <c r="I32" s="146">
        <f t="shared" ca="1" si="1"/>
        <v>-1</v>
      </c>
    </row>
    <row r="33" spans="1:12" x14ac:dyDescent="0.25">
      <c r="A33" s="124"/>
      <c r="B33" s="124"/>
      <c r="G33" s="250"/>
    </row>
    <row r="34" spans="1:12" x14ac:dyDescent="0.25">
      <c r="A34" s="124" t="s">
        <v>677</v>
      </c>
      <c r="B34" s="124"/>
      <c r="G34" s="250"/>
    </row>
    <row r="35" spans="1:12" x14ac:dyDescent="0.25">
      <c r="A35" s="848" t="s">
        <v>678</v>
      </c>
      <c r="B35" s="894"/>
      <c r="C35" s="145">
        <f ca="1">IF(ISNA(INDEX(ACFR_Stmts!$B$13:$F$113,MATCH($A35,ACFR_Stmts!$B$13:$B$113,0),5)),0,(INDEX(ACFR_Stmts!$B$13:$F$113,MATCH($A35,ACFR_Stmts!$B$13:$B$113,0),5)))</f>
        <v>0</v>
      </c>
      <c r="E35" s="145">
        <f>IF(ISNA(INDEX(PriorYrBal!$A$6:$L$113,MATCH($A35,PriorYrBal!$A$6:$A$113,0),MATCH($B$6,PriorYrBal!$A$9:$L$9,0))),0,(INDEX(PriorYrBal!$A$6:$L$113,MATCH($A35,PriorYrBal!$A$6:$A$113,0),MATCH($B$6,PriorYrBal!$A$9:$L$9,0))))</f>
        <v>1850000</v>
      </c>
      <c r="G35" s="359">
        <f t="shared" ref="G35:G40" ca="1" si="5">C35-E35</f>
        <v>-1850000</v>
      </c>
      <c r="I35" s="146">
        <f t="shared" ref="I35:I40" ca="1" si="6">IF(E35=0,0,G35/E35)</f>
        <v>-1</v>
      </c>
      <c r="L35" s="263" t="str">
        <f ca="1">IF($C$40=0,"",IF(AND(ABS(G35)&gt;$M$3,ABS(I35)&gt;$M$2),"C",IF(AND(ABS(C35+E35)&gt;0,E35=0,ABS(G35)&gt;$M$3),"C","")))</f>
        <v/>
      </c>
    </row>
    <row r="36" spans="1:12" x14ac:dyDescent="0.25">
      <c r="A36" s="853" t="s">
        <v>779</v>
      </c>
      <c r="B36" s="853"/>
      <c r="C36" s="145">
        <f ca="1">IF(ISNA(INDEX(ACFR_Stmts!$B$13:$F$113,MATCH($A36,ACFR_Stmts!$B$13:$B$113,0),5)),0,(INDEX(ACFR_Stmts!$B$13:$F$113,MATCH($A36,ACFR_Stmts!$B$13:$B$113,0),5)))</f>
        <v>0</v>
      </c>
      <c r="D36" s="127"/>
      <c r="E36" s="145">
        <f>IF(ISNA(INDEX(PriorYrBal!$A$6:$L$113,MATCH($A36,PriorYrBal!$A$6:$A$113,0),MATCH($B$6,PriorYrBal!$A$9:$L$9,0))),0,(INDEX(PriorYrBal!$A$6:$L$113,MATCH($A36,PriorYrBal!$A$6:$A$113,0),MATCH($B$6,PriorYrBal!$A$9:$L$9,0))))</f>
        <v>0</v>
      </c>
      <c r="G36" s="359">
        <f t="shared" ca="1" si="5"/>
        <v>0</v>
      </c>
      <c r="I36" s="146">
        <f t="shared" si="6"/>
        <v>0</v>
      </c>
      <c r="L36" s="263" t="str">
        <f ca="1">IF($C$40=0,"",IF(AND(ABS(G36)&gt;$M$3,ABS(I36)&gt;$M$2),"C",IF(AND(ABS(C36+E36)&gt;0,E36=0,ABS(G36)&gt;$M$3),"C","")))</f>
        <v/>
      </c>
    </row>
    <row r="37" spans="1:12" x14ac:dyDescent="0.25">
      <c r="A37" s="852" t="s">
        <v>942</v>
      </c>
      <c r="B37" s="852"/>
      <c r="C37" s="145">
        <f ca="1">IF(ISNA(INDEX(ACFR_Stmts!$B$13:$F$113,MATCH($A37,ACFR_Stmts!$B$13:$B$113,0),5)),0,(INDEX(ACFR_Stmts!$B$13:$F$113,MATCH($A37,ACFR_Stmts!$B$13:$B$113,0),5)))</f>
        <v>0</v>
      </c>
      <c r="D37" s="127"/>
      <c r="E37" s="145">
        <f>IF(ISNA(INDEX(PriorYrBal!$A$6:$L$113,MATCH($A37,PriorYrBal!$A$6:$A$113,0),MATCH($B$6,PriorYrBal!$A$9:$L$9,0))),0,(INDEX(PriorYrBal!$A$6:$L$113,MATCH($A37,PriorYrBal!$A$6:$A$113,0),MATCH($B$6,PriorYrBal!$A$9:$L$9,0))))</f>
        <v>3147000</v>
      </c>
      <c r="G37" s="359">
        <f t="shared" ca="1" si="5"/>
        <v>-3147000</v>
      </c>
      <c r="I37" s="146">
        <f t="shared" ca="1" si="6"/>
        <v>-1</v>
      </c>
      <c r="L37" s="263" t="str">
        <f ca="1">IF($C$40=0,"",IF(AND(ABS(G37)&gt;$M$3,ABS(I37)&gt;$M$2),"C",IF(AND(ABS(C37+E37)&gt;0,E37=0,ABS(G37)&gt;$M$3),"C","")))</f>
        <v/>
      </c>
    </row>
    <row r="38" spans="1:12" x14ac:dyDescent="0.25">
      <c r="A38" s="852" t="s">
        <v>1105</v>
      </c>
      <c r="B38" s="852"/>
      <c r="C38" s="145">
        <f ca="1">IF(ISNA(INDEX(ACFR_Stmts!$B$13:$F$113,MATCH($A38,ACFR_Stmts!$B$13:$B$113,0),5)),0,(INDEX(ACFR_Stmts!$B$13:$F$113,MATCH($A38,ACFR_Stmts!$B$13:$B$113,0),5)))</f>
        <v>0</v>
      </c>
      <c r="D38" s="127"/>
      <c r="E38" s="145">
        <f>IF(ISNA(INDEX(PriorYrBal!$A$6:$L$113,MATCH($A38,PriorYrBal!$A$6:$A$113,0),MATCH($B$6,PriorYrBal!$A$9:$L$9,0))),0,(INDEX(PriorYrBal!$A$6:$L$113,MATCH($A38,PriorYrBal!$A$6:$A$113,0),MATCH($B$6,PriorYrBal!$A$9:$L$9,0))))</f>
        <v>2800000</v>
      </c>
      <c r="G38" s="359">
        <f t="shared" ca="1" si="5"/>
        <v>-2800000</v>
      </c>
      <c r="I38" s="146">
        <f t="shared" ca="1" si="6"/>
        <v>-1</v>
      </c>
      <c r="L38" s="263" t="str">
        <f ca="1">IF($C$40=0,"",IF(AND(ABS(G38)&gt;$M$3,ABS(I38)&gt;$M$2),"C",IF(AND(ABS(C38+E38)&gt;0,E38=0,ABS(G38)&gt;$M$3),"C","")))</f>
        <v/>
      </c>
    </row>
    <row r="39" spans="1:12" x14ac:dyDescent="0.25">
      <c r="A39" s="852" t="s">
        <v>940</v>
      </c>
      <c r="B39" s="852"/>
      <c r="C39" s="145">
        <f ca="1">IF(ISNA(INDEX(ACFR_Stmts!$B$13:$F$113,MATCH($A39,ACFR_Stmts!$B$13:$B$113,0),5)),0,(INDEX(ACFR_Stmts!$B$13:$F$113,MATCH($A39,ACFR_Stmts!$B$13:$B$113,0),5)))</f>
        <v>0</v>
      </c>
      <c r="D39" s="127"/>
      <c r="E39" s="145">
        <f>IF(ISNA(INDEX(PriorYrBal!$A$6:$L$113,MATCH($A39,PriorYrBal!$A$6:$A$113,0),MATCH($B$6,PriorYrBal!$A$9:$L$9,0))),0,(INDEX(PriorYrBal!$A$6:$L$113,MATCH($A39,PriorYrBal!$A$6:$A$113,0),MATCH($B$6,PriorYrBal!$A$9:$L$9,0))))</f>
        <v>0</v>
      </c>
      <c r="G39" s="359">
        <f t="shared" ca="1" si="5"/>
        <v>0</v>
      </c>
      <c r="I39" s="146">
        <f t="shared" si="6"/>
        <v>0</v>
      </c>
      <c r="L39" s="263" t="str">
        <f ca="1">IF($C$40=0,"",IF(AND(ABS(G39)&gt;$M$3,ABS(I39)&gt;$M$2),"C",IF(AND(ABS(C39+E39)&gt;0,E39=0,ABS(G39)&gt;$M$3),"C","")))</f>
        <v/>
      </c>
    </row>
    <row r="40" spans="1:12" x14ac:dyDescent="0.25">
      <c r="A40" s="848" t="s">
        <v>679</v>
      </c>
      <c r="B40" s="894"/>
      <c r="C40" s="316">
        <f ca="1">SUM(C35:C39)</f>
        <v>0</v>
      </c>
      <c r="D40" s="250"/>
      <c r="E40" s="316">
        <f>SUM(E35:E39)</f>
        <v>7797000</v>
      </c>
      <c r="G40" s="359">
        <f t="shared" ca="1" si="5"/>
        <v>-7797000</v>
      </c>
      <c r="I40" s="146">
        <f t="shared" ca="1" si="6"/>
        <v>-1</v>
      </c>
    </row>
    <row r="41" spans="1:12" x14ac:dyDescent="0.25">
      <c r="A41" s="124"/>
      <c r="B41" s="124"/>
      <c r="G41" s="250"/>
    </row>
    <row r="42" spans="1:12" x14ac:dyDescent="0.25">
      <c r="A42" s="124" t="s">
        <v>124</v>
      </c>
      <c r="B42" s="124"/>
      <c r="G42" s="250"/>
    </row>
    <row r="43" spans="1:12" x14ac:dyDescent="0.25">
      <c r="A43" s="894" t="s">
        <v>264</v>
      </c>
      <c r="B43" s="894"/>
      <c r="C43" s="145">
        <f ca="1">IF(ISNA(INDEX(ACFR_Stmts!$B$13:$F$113,MATCH($A43,ACFR_Stmts!$B$13:$B$113,0),5)),0,(INDEX(ACFR_Stmts!$B$13:$F$113,MATCH($A43,ACFR_Stmts!$B$13:$B$113,0),5)))</f>
        <v>0</v>
      </c>
      <c r="E43" s="145">
        <f>IF(ISNA(INDEX(PriorYrBal!$A$6:$L$113,MATCH($A43,PriorYrBal!$A$6:$A$113,0),MATCH($B$6,PriorYrBal!$A$9:$L$9,0))),0,(INDEX(PriorYrBal!$A$6:$L$113,MATCH($A43,PriorYrBal!$A$6:$A$113,0),MATCH($B$6,PriorYrBal!$A$9:$L$9,0))))</f>
        <v>3583000</v>
      </c>
      <c r="G43" s="359">
        <f t="shared" ref="G43:G58" ca="1" si="7">C43-E43</f>
        <v>-3583000</v>
      </c>
      <c r="I43" s="146">
        <f ca="1">IF(E43=0,0,G43/E43)</f>
        <v>-1</v>
      </c>
      <c r="L43" s="263" t="str">
        <f t="shared" ref="L43:L54" ca="1" si="8">IF($C$32=0,"",IF(AND(ABS(G43)&gt;$M$3,ABS(I43)&gt;$M$2),"C",IF(AND(ABS(C43+E43)&gt;0,E43=0,ABS(G43)&gt;$M$3),"C","")))</f>
        <v/>
      </c>
    </row>
    <row r="44" spans="1:12" x14ac:dyDescent="0.25">
      <c r="A44" s="894" t="s">
        <v>242</v>
      </c>
      <c r="B44" s="894"/>
      <c r="C44" s="145">
        <f ca="1">IF(ISNA(INDEX(ACFR_Stmts!$B$13:$F$113,MATCH($A44,ACFR_Stmts!$B$13:$B$113,0),5)),0,(INDEX(ACFR_Stmts!$B$13:$F$113,MATCH($A44,ACFR_Stmts!$B$13:$B$113,0),5)))</f>
        <v>0</v>
      </c>
      <c r="D44" s="250"/>
      <c r="E44" s="145">
        <f>IF(ISNA(INDEX(PriorYrBal!$A$6:$L$113,MATCH($A44,PriorYrBal!$A$6:$A$113,0),MATCH($B$6,PriorYrBal!$A$9:$L$9,0))),0,(INDEX(PriorYrBal!$A$6:$L$113,MATCH($A44,PriorYrBal!$A$6:$A$113,0),MATCH($B$6,PriorYrBal!$A$9:$L$9,0))))</f>
        <v>20076000</v>
      </c>
      <c r="G44" s="359">
        <f t="shared" ca="1" si="7"/>
        <v>-20076000</v>
      </c>
      <c r="I44" s="146">
        <f t="shared" ref="I44:I58" ca="1" si="9">IF(E44=0,0,G44/E44)</f>
        <v>-1</v>
      </c>
      <c r="L44" s="263" t="str">
        <f t="shared" ca="1" si="8"/>
        <v/>
      </c>
    </row>
    <row r="45" spans="1:12" x14ac:dyDescent="0.25">
      <c r="A45" s="848" t="s">
        <v>590</v>
      </c>
      <c r="B45" s="894"/>
      <c r="C45" s="145">
        <f ca="1">IF(ISNA(INDEX(ACFR_Stmts!$B$13:$F$113,MATCH($A45,ACFR_Stmts!$B$13:$B$113,0),5)),0,(INDEX(ACFR_Stmts!$B$13:$F$113,MATCH($A45,ACFR_Stmts!$B$13:$B$113,0),5)))</f>
        <v>0</v>
      </c>
      <c r="D45" s="250"/>
      <c r="E45" s="145">
        <f>IF(ISNA(INDEX(PriorYrBal!$A$6:$L$113,MATCH($A45,PriorYrBal!$A$6:$A$113,0),MATCH($B$6,PriorYrBal!$A$9:$L$9,0))),0,(INDEX(PriorYrBal!$A$6:$L$113,MATCH($A45,PriorYrBal!$A$6:$A$113,0),MATCH($B$6,PriorYrBal!$A$9:$L$9,0))))</f>
        <v>0</v>
      </c>
      <c r="G45" s="359">
        <f ca="1">C45-E45</f>
        <v>0</v>
      </c>
      <c r="I45" s="146">
        <f>IF(E45=0,0,G45/E45)</f>
        <v>0</v>
      </c>
      <c r="L45" s="263" t="str">
        <f t="shared" ca="1" si="8"/>
        <v/>
      </c>
    </row>
    <row r="46" spans="1:12" x14ac:dyDescent="0.25">
      <c r="A46" s="848" t="s">
        <v>637</v>
      </c>
      <c r="B46" s="894"/>
      <c r="C46" s="145">
        <f ca="1">IF(ISNA(INDEX(ACFR_Stmts!$B$13:$F$113,MATCH($A46,ACFR_Stmts!$B$13:$B$113,0),5)),0,(INDEX(ACFR_Stmts!$B$13:$F$113,MATCH($A46,ACFR_Stmts!$B$13:$B$113,0),5)))</f>
        <v>0</v>
      </c>
      <c r="D46" s="250"/>
      <c r="E46" s="145">
        <f>IF(ISNA(INDEX(PriorYrBal!$A$6:$L$113,MATCH($A46,PriorYrBal!$A$6:$A$113,0),MATCH($B$6,PriorYrBal!$A$9:$L$9,0))),0,(INDEX(PriorYrBal!$A$6:$L$113,MATCH($A46,PriorYrBal!$A$6:$A$113,0),MATCH($B$6,PriorYrBal!$A$9:$L$9,0))))</f>
        <v>0</v>
      </c>
      <c r="G46" s="359">
        <f t="shared" ca="1" si="7"/>
        <v>0</v>
      </c>
      <c r="I46" s="146">
        <f t="shared" si="9"/>
        <v>0</v>
      </c>
      <c r="L46" s="263" t="str">
        <f t="shared" ca="1" si="8"/>
        <v/>
      </c>
    </row>
    <row r="47" spans="1:12" x14ac:dyDescent="0.25">
      <c r="A47" s="848" t="s">
        <v>632</v>
      </c>
      <c r="B47" s="894"/>
      <c r="C47" s="145">
        <f ca="1">IF(ISNA(INDEX(ACFR_Stmts!$B$13:$F$113,MATCH($A47,ACFR_Stmts!$B$13:$B$113,0),5)),0,(INDEX(ACFR_Stmts!$B$13:$F$113,MATCH($A47,ACFR_Stmts!$B$13:$B$113,0),5)))</f>
        <v>0</v>
      </c>
      <c r="D47" s="250"/>
      <c r="E47" s="145">
        <f>IF(ISNA(INDEX(PriorYrBal!$A$6:$L$113,MATCH($A47,PriorYrBal!$A$6:$A$113,0),MATCH($B$6,PriorYrBal!$A$9:$L$9,0))),0,(INDEX(PriorYrBal!$A$6:$L$113,MATCH($A47,PriorYrBal!$A$6:$A$113,0),MATCH($B$6,PriorYrBal!$A$9:$L$9,0))))</f>
        <v>28625000</v>
      </c>
      <c r="G47" s="359">
        <f t="shared" ca="1" si="7"/>
        <v>-28625000</v>
      </c>
      <c r="I47" s="146">
        <f t="shared" ca="1" si="9"/>
        <v>-1</v>
      </c>
      <c r="L47" s="263" t="str">
        <f t="shared" ca="1" si="8"/>
        <v/>
      </c>
    </row>
    <row r="48" spans="1:12" x14ac:dyDescent="0.25">
      <c r="A48" s="894" t="s">
        <v>296</v>
      </c>
      <c r="B48" s="894"/>
      <c r="C48" s="145">
        <f ca="1">IF(ISNA(INDEX(ACFR_Stmts!$B$13:$F$113,MATCH($A48,ACFR_Stmts!$B$13:$B$113,0),5)),0,(INDEX(ACFR_Stmts!$B$13:$F$113,MATCH($A48,ACFR_Stmts!$B$13:$B$113,0),5)))</f>
        <v>0</v>
      </c>
      <c r="D48" s="250"/>
      <c r="E48" s="145">
        <f>IF(ISNA(INDEX(PriorYrBal!$A$6:$L$113,MATCH($A48,PriorYrBal!$A$6:$A$113,0),MATCH($B$6,PriorYrBal!$A$9:$L$9,0))),0,(INDEX(PriorYrBal!$A$6:$L$113,MATCH($A48,PriorYrBal!$A$6:$A$113,0),MATCH($B$6,PriorYrBal!$A$9:$L$9,0))))</f>
        <v>21146000</v>
      </c>
      <c r="G48" s="359">
        <f t="shared" ca="1" si="7"/>
        <v>-21146000</v>
      </c>
      <c r="I48" s="146">
        <f t="shared" ca="1" si="9"/>
        <v>-1</v>
      </c>
      <c r="L48" s="263" t="str">
        <f t="shared" ca="1" si="8"/>
        <v/>
      </c>
    </row>
    <row r="49" spans="1:12" x14ac:dyDescent="0.25">
      <c r="A49" s="848" t="s">
        <v>376</v>
      </c>
      <c r="B49" s="894"/>
      <c r="C49" s="145">
        <f ca="1">IF(ISNA(INDEX(ACFR_Stmts!$B$13:$F$113,MATCH($A49,ACFR_Stmts!$B$13:$B$113,0),5)),0,(INDEX(ACFR_Stmts!$B$13:$F$113,MATCH($A49,ACFR_Stmts!$B$13:$B$113,0),5)))</f>
        <v>0</v>
      </c>
      <c r="D49" s="250"/>
      <c r="E49" s="145">
        <f>IF(ISNA(INDEX(PriorYrBal!$A$6:$L$113,MATCH($A49,PriorYrBal!$A$6:$A$113,0),MATCH($B$6,PriorYrBal!$A$9:$L$9,0))),0,(INDEX(PriorYrBal!$A$6:$L$113,MATCH($A49,PriorYrBal!$A$6:$A$113,0),MATCH($B$6,PriorYrBal!$A$9:$L$9,0))))</f>
        <v>0</v>
      </c>
      <c r="G49" s="359">
        <f ca="1">C49-E49</f>
        <v>0</v>
      </c>
      <c r="I49" s="146">
        <f>IF(E49=0,0,G49/E49)</f>
        <v>0</v>
      </c>
      <c r="L49" s="263" t="str">
        <f t="shared" ca="1" si="8"/>
        <v/>
      </c>
    </row>
    <row r="50" spans="1:12" x14ac:dyDescent="0.25">
      <c r="A50" s="848" t="s">
        <v>633</v>
      </c>
      <c r="B50" s="894"/>
      <c r="C50" s="145">
        <f ca="1">IF(ISNA(INDEX(ACFR_Stmts!$B$13:$F$113,MATCH($A50,ACFR_Stmts!$B$13:$B$113,0),5)),0,(INDEX(ACFR_Stmts!$B$13:$F$113,MATCH($A50,ACFR_Stmts!$B$13:$B$113,0),5)))</f>
        <v>0</v>
      </c>
      <c r="D50" s="250"/>
      <c r="E50" s="145">
        <f>IF(ISNA(INDEX(PriorYrBal!$A$6:$L$113,MATCH($A50,PriorYrBal!$A$6:$A$113,0),MATCH($B$6,PriorYrBal!$A$9:$L$9,0))),0,(INDEX(PriorYrBal!$A$6:$L$113,MATCH($A50,PriorYrBal!$A$6:$A$113,0),MATCH($B$6,PriorYrBal!$A$9:$L$9,0))))</f>
        <v>0</v>
      </c>
      <c r="G50" s="359">
        <f t="shared" ca="1" si="7"/>
        <v>0</v>
      </c>
      <c r="I50" s="146">
        <f t="shared" si="9"/>
        <v>0</v>
      </c>
      <c r="L50" s="263" t="str">
        <f t="shared" ca="1" si="8"/>
        <v/>
      </c>
    </row>
    <row r="51" spans="1:12" x14ac:dyDescent="0.25">
      <c r="A51" s="894" t="s">
        <v>243</v>
      </c>
      <c r="B51" s="894"/>
      <c r="C51" s="145">
        <f ca="1">IF(ISNA(INDEX(ACFR_Stmts!$B$13:$F$113,MATCH($A51,ACFR_Stmts!$B$13:$B$113,0),5)),0,(INDEX(ACFR_Stmts!$B$13:$F$113,MATCH($A51,ACFR_Stmts!$B$13:$B$113,0),5)))</f>
        <v>0</v>
      </c>
      <c r="D51" s="250"/>
      <c r="E51" s="145">
        <f>IF(ISNA(INDEX(PriorYrBal!$A$6:$L$113,MATCH($A51,PriorYrBal!$A$6:$A$113,0),MATCH($B$6,PriorYrBal!$A$9:$L$9,0))),0,(INDEX(PriorYrBal!$A$6:$L$113,MATCH($A51,PriorYrBal!$A$6:$A$113,0),MATCH($B$6,PriorYrBal!$A$9:$L$9,0))))</f>
        <v>3716000</v>
      </c>
      <c r="G51" s="359">
        <f t="shared" ca="1" si="7"/>
        <v>-3716000</v>
      </c>
      <c r="I51" s="146">
        <f t="shared" ca="1" si="9"/>
        <v>-1</v>
      </c>
      <c r="L51" s="263" t="str">
        <f t="shared" ca="1" si="8"/>
        <v/>
      </c>
    </row>
    <row r="52" spans="1:12" x14ac:dyDescent="0.25">
      <c r="A52" s="894" t="s">
        <v>132</v>
      </c>
      <c r="B52" s="894"/>
      <c r="C52" s="145">
        <f ca="1">IF(ISNA(INDEX(ACFR_Stmts!$B$13:$F$113,MATCH($A52,ACFR_Stmts!$B$13:$B$113,0),5)),0,(INDEX(ACFR_Stmts!$B$13:$F$113,MATCH($A52,ACFR_Stmts!$B$13:$B$113,0),5)))</f>
        <v>0</v>
      </c>
      <c r="D52" s="250"/>
      <c r="E52" s="145">
        <f>IF(ISNA(INDEX(PriorYrBal!$A$6:$L$113,MATCH($A52,PriorYrBal!$A$6:$A$113,0),MATCH($B$6,PriorYrBal!$A$9:$L$9,0))),0,(INDEX(PriorYrBal!$A$6:$L$113,MATCH($A52,PriorYrBal!$A$6:$A$113,0),MATCH($B$6,PriorYrBal!$A$9:$L$9,0))))</f>
        <v>0</v>
      </c>
      <c r="G52" s="359">
        <f t="shared" ca="1" si="7"/>
        <v>0</v>
      </c>
      <c r="I52" s="146">
        <f t="shared" si="9"/>
        <v>0</v>
      </c>
      <c r="L52" s="263" t="str">
        <f t="shared" ca="1" si="8"/>
        <v/>
      </c>
    </row>
    <row r="53" spans="1:12" s="791" customFormat="1" x14ac:dyDescent="0.25">
      <c r="A53" s="862" t="s">
        <v>1429</v>
      </c>
      <c r="B53" s="896"/>
      <c r="C53" s="145">
        <f ca="1">IF(ISNA(INDEX(ACFR_Stmts!$B$13:$F$113,MATCH($A53,ACFR_Stmts!$B$13:$B$113,0),5)),0,(INDEX(ACFR_Stmts!$B$13:$F$113,MATCH($A53,ACFR_Stmts!$B$13:$B$113,0),5)))</f>
        <v>0</v>
      </c>
      <c r="D53" s="250"/>
      <c r="E53" s="145">
        <f>IF(ISNA(INDEX(PriorYrBal!$A$6:$L$113,MATCH($A53,PriorYrBal!$A$6:$A$113,0),MATCH($B$6,PriorYrBal!$A$9:$L$9,0))),0,(INDEX(PriorYrBal!$A$6:$L$113,MATCH($A53,PriorYrBal!$A$6:$A$113,0),MATCH($B$6,PriorYrBal!$A$9:$L$9,0))))</f>
        <v>0</v>
      </c>
      <c r="G53" s="359">
        <f t="shared" ca="1" si="7"/>
        <v>0</v>
      </c>
      <c r="I53" s="146">
        <f t="shared" ref="I53" si="10">IF(E53=0,0,G53/E53)</f>
        <v>0</v>
      </c>
      <c r="L53" s="263" t="str">
        <f t="shared" ca="1" si="8"/>
        <v/>
      </c>
    </row>
    <row r="54" spans="1:12" x14ac:dyDescent="0.25">
      <c r="A54" s="848" t="s">
        <v>625</v>
      </c>
      <c r="B54" s="894"/>
      <c r="C54" s="145">
        <f ca="1">IF(ISNA(INDEX(ACFR_Stmts!$B$13:$F$113,MATCH($A54,ACFR_Stmts!$B$13:$B$113,0),5)),0,(INDEX(ACFR_Stmts!$B$13:$F$113,MATCH($A54,ACFR_Stmts!$B$13:$B$113,0),5)))</f>
        <v>0</v>
      </c>
      <c r="D54" s="250"/>
      <c r="E54" s="145">
        <f>IF(ISNA(INDEX(PriorYrBal!$A$6:$L$113,MATCH($A54,PriorYrBal!$A$6:$A$113,0),MATCH($B$6,PriorYrBal!$A$9:$L$9,0))),0,(INDEX(PriorYrBal!$A$6:$L$113,MATCH($A54,PriorYrBal!$A$6:$A$113,0),MATCH($B$6,PriorYrBal!$A$9:$L$9,0))))</f>
        <v>1850000</v>
      </c>
      <c r="G54" s="359">
        <f ca="1">C54-E54</f>
        <v>-1850000</v>
      </c>
      <c r="I54" s="146">
        <f ca="1">IF(E54=0,0,G54/E54)</f>
        <v>-1</v>
      </c>
      <c r="L54" s="263" t="str">
        <f t="shared" ca="1" si="8"/>
        <v/>
      </c>
    </row>
    <row r="55" spans="1:12" x14ac:dyDescent="0.25">
      <c r="A55" s="894" t="s">
        <v>284</v>
      </c>
      <c r="B55" s="894"/>
      <c r="C55" s="145"/>
      <c r="D55" s="250"/>
      <c r="G55" s="359"/>
      <c r="I55" s="146"/>
      <c r="L55" s="358"/>
    </row>
    <row r="56" spans="1:12" x14ac:dyDescent="0.25">
      <c r="A56" s="893" t="s">
        <v>283</v>
      </c>
      <c r="B56" s="893"/>
      <c r="C56" s="145">
        <f ca="1">IF(ISNA(INDEX(ACFR_Stmts!$B$13:$F$113,MATCH($A56,ACFR_Stmts!$B$13:$B$113,0),5)),0,(INDEX(ACFR_Stmts!$B$13:$F$113,MATCH($A56,ACFR_Stmts!$B$13:$B$113,0),5)))</f>
        <v>0</v>
      </c>
      <c r="D56" s="250"/>
      <c r="E56" s="145">
        <f>IF(ISNA(INDEX(PriorYrBal!$A$6:$L$113,MATCH($A56,PriorYrBal!$A$6:$A$113,0),MATCH($B$6,PriorYrBal!$A$9:$L$9,0))),0,(INDEX(PriorYrBal!$A$6:$L$113,MATCH($A56,PriorYrBal!$A$6:$A$113,0),MATCH($B$6,PriorYrBal!$A$9:$L$9,0))))</f>
        <v>43501000</v>
      </c>
      <c r="G56" s="359">
        <f t="shared" ca="1" si="7"/>
        <v>-43501000</v>
      </c>
      <c r="I56" s="146">
        <f t="shared" ca="1" si="9"/>
        <v>-1</v>
      </c>
      <c r="L56" s="263" t="str">
        <f ca="1">IF($C$32=0,"",IF(AND(ABS(G56)&gt;$M$3,ABS(I56)&gt;$M$2),"C",IF(AND(ABS(C56+E56)&gt;0,E56=0,ABS(G56)&gt;$M$3),"C","")))</f>
        <v/>
      </c>
    </row>
    <row r="57" spans="1:12" x14ac:dyDescent="0.25">
      <c r="A57" s="893" t="s">
        <v>285</v>
      </c>
      <c r="B57" s="893"/>
      <c r="C57" s="145">
        <f ca="1">IF(ISNA(INDEX(ACFR_Stmts!$B$13:$F$113,MATCH($A57,ACFR_Stmts!$B$13:$B$113,0),5)),0,(INDEX(ACFR_Stmts!$B$13:$F$113,MATCH($A57,ACFR_Stmts!$B$13:$B$113,0),5)))</f>
        <v>0</v>
      </c>
      <c r="D57" s="250"/>
      <c r="E57" s="145">
        <f>IF(ISNA(INDEX(PriorYrBal!$A$6:$L$113,MATCH($A57,PriorYrBal!$A$6:$A$113,0),MATCH($B$6,PriorYrBal!$A$9:$L$9,0))),0,(INDEX(PriorYrBal!$A$6:$L$113,MATCH($A57,PriorYrBal!$A$6:$A$113,0),MATCH($B$6,PriorYrBal!$A$9:$L$9,0))))</f>
        <v>1461934000</v>
      </c>
      <c r="G57" s="359">
        <f t="shared" ca="1" si="7"/>
        <v>-1461934000</v>
      </c>
      <c r="I57" s="146">
        <f t="shared" ca="1" si="9"/>
        <v>-1</v>
      </c>
      <c r="L57" s="263" t="str">
        <f ca="1">IF($C$32=0,"",IF(AND(ABS(G57)&gt;$M$3,ABS(I57)&gt;$M$2),"C",IF(AND(ABS(C57+E57)&gt;0,E57=0,ABS(G57)&gt;$M$3),"C","")))</f>
        <v/>
      </c>
    </row>
    <row r="58" spans="1:12" x14ac:dyDescent="0.25">
      <c r="A58" s="894" t="s">
        <v>367</v>
      </c>
      <c r="B58" s="894"/>
      <c r="C58" s="316">
        <f ca="1">SUM(C43:C57)</f>
        <v>0</v>
      </c>
      <c r="D58" s="250"/>
      <c r="E58" s="316">
        <f>SUM(E43:E57)</f>
        <v>1584431000</v>
      </c>
      <c r="G58" s="359">
        <f t="shared" ca="1" si="7"/>
        <v>-1584431000</v>
      </c>
      <c r="I58" s="146">
        <f t="shared" ca="1" si="9"/>
        <v>-1</v>
      </c>
    </row>
    <row r="59" spans="1:12" x14ac:dyDescent="0.25">
      <c r="A59" s="129"/>
      <c r="B59" s="129"/>
      <c r="G59" s="251"/>
      <c r="I59" s="146"/>
    </row>
    <row r="60" spans="1:12" x14ac:dyDescent="0.25">
      <c r="A60" s="124" t="s">
        <v>680</v>
      </c>
      <c r="B60" s="124"/>
      <c r="G60" s="251"/>
      <c r="I60" s="146"/>
    </row>
    <row r="61" spans="1:12" x14ac:dyDescent="0.25">
      <c r="A61" s="848" t="s">
        <v>681</v>
      </c>
      <c r="B61" s="894"/>
      <c r="C61" s="145">
        <f ca="1">IF(ISNA(INDEX(ACFR_Stmts!$B$13:$F$113,MATCH($A61,ACFR_Stmts!$B$13:$B$113,0),5)),0,(INDEX(ACFR_Stmts!$B$13:$F$113,MATCH($A61,ACFR_Stmts!$B$13:$B$113,0),5)))</f>
        <v>0</v>
      </c>
      <c r="E61" s="145">
        <f>IF(ISNA(INDEX(PriorYrBal!$A$6:$L$113,MATCH($A61,PriorYrBal!$A$6:$A$113,0),MATCH($B$6,PriorYrBal!$A$9:$L$9,0))),0,(INDEX(PriorYrBal!$A$6:$L$113,MATCH($A61,PriorYrBal!$A$6:$A$113,0),MATCH($B$6,PriorYrBal!$A$9:$L$9,0))))</f>
        <v>0</v>
      </c>
      <c r="G61" s="359">
        <f t="shared" ref="G61:G71" ca="1" si="11">C61-E61</f>
        <v>0</v>
      </c>
      <c r="I61" s="146">
        <f t="shared" ref="I61:I71" si="12">IF(E61=0,0,G61/E61)</f>
        <v>0</v>
      </c>
      <c r="L61" s="263" t="str">
        <f t="shared" ref="L61:L68" ca="1" si="13">IF($C$40=0,"",IF(AND(ABS(G61)&gt;$M$3,ABS(I61)&gt;$M$2),"C",IF(AND(ABS(C61+E61)&gt;0,E61=0,ABS(G61)&gt;$M$3),"C","")))</f>
        <v/>
      </c>
    </row>
    <row r="62" spans="1:12" x14ac:dyDescent="0.25">
      <c r="A62" s="848" t="s">
        <v>696</v>
      </c>
      <c r="B62" s="894"/>
      <c r="C62" s="145">
        <f ca="1">IF(ISNA(INDEX(ACFR_Stmts!$B$13:$F$113,MATCH($A62,ACFR_Stmts!$B$13:$B$113,0),5)),0,(INDEX(ACFR_Stmts!$B$13:$F$113,MATCH($A62,ACFR_Stmts!$B$13:$B$113,0),5)))</f>
        <v>0</v>
      </c>
      <c r="E62" s="145">
        <f>IF(ISNA(INDEX(PriorYrBal!$A$6:$L$113,MATCH($A62,PriorYrBal!$A$6:$A$113,0),MATCH($B$6,PriorYrBal!$A$9:$L$9,0))),0,(INDEX(PriorYrBal!$A$6:$L$113,MATCH($A62,PriorYrBal!$A$6:$A$113,0),MATCH($B$6,PriorYrBal!$A$9:$L$9,0))))</f>
        <v>0</v>
      </c>
      <c r="G62" s="359">
        <f t="shared" ca="1" si="11"/>
        <v>0</v>
      </c>
      <c r="I62" s="146">
        <f t="shared" si="12"/>
        <v>0</v>
      </c>
      <c r="L62" s="263" t="str">
        <f t="shared" ca="1" si="13"/>
        <v/>
      </c>
    </row>
    <row r="63" spans="1:12" x14ac:dyDescent="0.25">
      <c r="A63" s="853" t="s">
        <v>777</v>
      </c>
      <c r="B63" s="853"/>
      <c r="C63" s="145">
        <f ca="1">IF(ISNA(INDEX(ACFR_Stmts!$B$13:$F$113,MATCH($A63,ACFR_Stmts!$B$13:$B$113,0),5)),0,(INDEX(ACFR_Stmts!$B$13:$F$113,MATCH($A63,ACFR_Stmts!$B$13:$B$113,0),5)))</f>
        <v>0</v>
      </c>
      <c r="E63" s="145">
        <f>IF(ISNA(INDEX(PriorYrBal!$A$6:$L$113,MATCH($A63,PriorYrBal!$A$6:$A$113,0),MATCH($B$6,PriorYrBal!$A$9:$L$9,0))),0,(INDEX(PriorYrBal!$A$6:$L$113,MATCH($A63,PriorYrBal!$A$6:$A$113,0),MATCH($B$6,PriorYrBal!$A$9:$L$9,0))))</f>
        <v>0</v>
      </c>
      <c r="G63" s="359">
        <f t="shared" ca="1" si="11"/>
        <v>0</v>
      </c>
      <c r="I63" s="146">
        <f t="shared" si="12"/>
        <v>0</v>
      </c>
      <c r="L63" s="263" t="str">
        <f t="shared" ca="1" si="13"/>
        <v/>
      </c>
    </row>
    <row r="64" spans="1:12" x14ac:dyDescent="0.25">
      <c r="A64" s="853" t="s">
        <v>778</v>
      </c>
      <c r="B64" s="853"/>
      <c r="C64" s="145">
        <f ca="1">IF(ISNA(INDEX(ACFR_Stmts!$B$13:$F$113,MATCH($A64,ACFR_Stmts!$B$13:$B$113,0),5)),0,(INDEX(ACFR_Stmts!$B$13:$F$113,MATCH($A64,ACFR_Stmts!$B$13:$B$113,0),5)))</f>
        <v>0</v>
      </c>
      <c r="E64" s="145">
        <f>IF(ISNA(INDEX(PriorYrBal!$A$6:$L$113,MATCH($A64,PriorYrBal!$A$6:$A$113,0),MATCH($B$6,PriorYrBal!$A$9:$L$9,0))),0,(INDEX(PriorYrBal!$A$6:$L$113,MATCH($A64,PriorYrBal!$A$6:$A$113,0),MATCH($B$6,PriorYrBal!$A$9:$L$9,0))))</f>
        <v>0</v>
      </c>
      <c r="G64" s="359">
        <f t="shared" ca="1" si="11"/>
        <v>0</v>
      </c>
      <c r="I64" s="146">
        <f t="shared" si="12"/>
        <v>0</v>
      </c>
      <c r="L64" s="263" t="str">
        <f t="shared" ca="1" si="13"/>
        <v/>
      </c>
    </row>
    <row r="65" spans="1:14" x14ac:dyDescent="0.25">
      <c r="A65" s="852" t="s">
        <v>924</v>
      </c>
      <c r="B65" s="852"/>
      <c r="C65" s="145">
        <f ca="1">IF(ISNA(INDEX(ACFR_Stmts!$B$13:$F$113,MATCH($A65,ACFR_Stmts!$B$13:$B$113,0),5)),0,(INDEX(ACFR_Stmts!$B$13:$F$113,MATCH($A65,ACFR_Stmts!$B$13:$B$113,0),5)))</f>
        <v>0</v>
      </c>
      <c r="E65" s="145">
        <f>IF(ISNA(INDEX(PriorYrBal!$A$6:$L$113,MATCH($A65,PriorYrBal!$A$6:$A$113,0),MATCH($B$6,PriorYrBal!$A$9:$L$9,0))),0,(INDEX(PriorYrBal!$A$6:$L$113,MATCH($A65,PriorYrBal!$A$6:$A$113,0),MATCH($B$6,PriorYrBal!$A$9:$L$9,0))))</f>
        <v>0</v>
      </c>
      <c r="G65" s="359">
        <f ca="1">C65-E65</f>
        <v>0</v>
      </c>
      <c r="I65" s="146">
        <f>IF(E65=0,0,G65/E65)</f>
        <v>0</v>
      </c>
      <c r="L65" s="263" t="str">
        <f t="shared" ca="1" si="13"/>
        <v/>
      </c>
    </row>
    <row r="66" spans="1:14" x14ac:dyDescent="0.25">
      <c r="A66" s="895" t="s">
        <v>1112</v>
      </c>
      <c r="B66" s="895"/>
      <c r="C66" s="145">
        <f ca="1">IF(ISNA(INDEX(ACFR_Stmts!$B$13:$F$113,MATCH($A66,ACFR_Stmts!$B$13:$B$113,0),5)),0,(INDEX(ACFR_Stmts!$B$13:$F$113,MATCH($A66,ACFR_Stmts!$B$13:$B$113,0),5)))</f>
        <v>0</v>
      </c>
      <c r="E66" s="145">
        <f>IF(ISNA(INDEX(PriorYrBal!$A$6:$L$113,MATCH($A66,PriorYrBal!$A$6:$A$113,0),MATCH($B$6,PriorYrBal!$A$9:$L$9,0))),0,(INDEX(PriorYrBal!$A$6:$L$113,MATCH($A66,PriorYrBal!$A$6:$A$113,0),MATCH($B$6,PriorYrBal!$A$9:$L$9,0))))</f>
        <v>0</v>
      </c>
      <c r="G66" s="359">
        <f ca="1">C66-E66</f>
        <v>0</v>
      </c>
      <c r="I66" s="146">
        <f>IF(E66=0,0,G66/E66)</f>
        <v>0</v>
      </c>
      <c r="L66" s="263" t="str">
        <f t="shared" ca="1" si="13"/>
        <v/>
      </c>
      <c r="M66" s="558"/>
      <c r="N66" s="558"/>
    </row>
    <row r="67" spans="1:14" x14ac:dyDescent="0.25">
      <c r="A67" s="852" t="s">
        <v>947</v>
      </c>
      <c r="B67" s="852"/>
      <c r="C67" s="145">
        <f ca="1">IF(ISNA(INDEX(ACFR_Stmts!$B$13:$F$113,MATCH($A67,ACFR_Stmts!$B$13:$B$113,0),5)),0,(INDEX(ACFR_Stmts!$B$13:$F$113,MATCH($A67,ACFR_Stmts!$B$13:$B$113,0),5)))</f>
        <v>0</v>
      </c>
      <c r="E67" s="145">
        <f>IF(ISNA(INDEX(PriorYrBal!$A$6:$L$113,MATCH($A67,PriorYrBal!$A$6:$A$113,0),MATCH($B$6,PriorYrBal!$A$9:$L$9,0))),0,(INDEX(PriorYrBal!$A$6:$L$113,MATCH($A67,PriorYrBal!$A$6:$A$113,0),MATCH($B$6,PriorYrBal!$A$9:$L$9,0))))</f>
        <v>0</v>
      </c>
      <c r="G67" s="359">
        <f ca="1">C67-E67</f>
        <v>0</v>
      </c>
      <c r="I67" s="146">
        <f>IF(E67=0,0,G67/E67)</f>
        <v>0</v>
      </c>
      <c r="L67" s="263" t="str">
        <f t="shared" ca="1" si="13"/>
        <v/>
      </c>
    </row>
    <row r="68" spans="1:14" x14ac:dyDescent="0.25">
      <c r="A68" s="852" t="s">
        <v>1108</v>
      </c>
      <c r="B68" s="852"/>
      <c r="C68" s="145">
        <f ca="1">IF(ISNA(INDEX(ACFR_Stmts!$B$13:$F$113,MATCH($A68,ACFR_Stmts!$B$13:$B$113,0),5)),0,(INDEX(ACFR_Stmts!$B$13:$F$113,MATCH($A68,ACFR_Stmts!$B$13:$B$113,0),5)))</f>
        <v>0</v>
      </c>
      <c r="E68" s="145">
        <f>IF(ISNA(INDEX(PriorYrBal!$A$6:$L$113,MATCH($A68,PriorYrBal!$A$6:$A$113,0),MATCH($B$6,PriorYrBal!$A$9:$L$9,0))),0,(INDEX(PriorYrBal!$A$6:$L$113,MATCH($A68,PriorYrBal!$A$6:$A$113,0),MATCH($B$6,PriorYrBal!$A$9:$L$9,0))))</f>
        <v>5945000</v>
      </c>
      <c r="G68" s="359">
        <f ca="1">C68-E68</f>
        <v>-5945000</v>
      </c>
      <c r="I68" s="146">
        <f ca="1">IF(E68=0,0,G68/E68)</f>
        <v>-1</v>
      </c>
      <c r="L68" s="263" t="str">
        <f t="shared" ca="1" si="13"/>
        <v/>
      </c>
    </row>
    <row r="69" spans="1:14" s="784" customFormat="1" x14ac:dyDescent="0.25">
      <c r="A69" s="864" t="s">
        <v>1417</v>
      </c>
      <c r="B69" s="864"/>
      <c r="C69" s="145">
        <f ca="1">IF(ISNA(INDEX(ACFR_Stmts!$B$13:$F$113,MATCH($A69,ACFR_Stmts!$B$13:$B$113,0),5)),0,(INDEX(ACFR_Stmts!$B$13:$F$113,MATCH($A69,ACFR_Stmts!$B$13:$B$113,0),5)))</f>
        <v>0</v>
      </c>
      <c r="E69" s="145">
        <f>IF(ISNA(INDEX(PriorYrBal!$A$6:$L$113,MATCH($A69,PriorYrBal!$A$6:$A$113,0),MATCH($B$6,PriorYrBal!$A$9:$L$9,0))),0,(INDEX(PriorYrBal!$A$6:$L$113,MATCH($A69,PriorYrBal!$A$6:$A$113,0),MATCH($B$6,PriorYrBal!$A$9:$L$9,0))))</f>
        <v>0</v>
      </c>
      <c r="G69" s="359">
        <f ca="1">C69-E69</f>
        <v>0</v>
      </c>
      <c r="I69" s="146">
        <f>IF(E69=0,0,G69/E69)</f>
        <v>0</v>
      </c>
      <c r="L69" s="263"/>
    </row>
    <row r="70" spans="1:14" x14ac:dyDescent="0.25">
      <c r="A70" s="852" t="s">
        <v>941</v>
      </c>
      <c r="B70" s="852"/>
      <c r="C70" s="145">
        <f ca="1">IF(ISNA(INDEX(ACFR_Stmts!$B$13:$F$113,MATCH($A70,ACFR_Stmts!$B$13:$B$113,0),5)),0,(INDEX(ACFR_Stmts!$B$13:$F$113,MATCH($A70,ACFR_Stmts!$B$13:$B$113,0),5)))</f>
        <v>0</v>
      </c>
      <c r="E70" s="145">
        <f>IF(ISNA(INDEX(PriorYrBal!$A$6:$L$113,MATCH($A70,PriorYrBal!$A$6:$A$113,0),MATCH($B$6,PriorYrBal!$A$9:$L$9,0))),0,(INDEX(PriorYrBal!$A$6:$L$113,MATCH($A70,PriorYrBal!$A$6:$A$113,0),MATCH($B$6,PriorYrBal!$A$9:$L$9,0))))</f>
        <v>0</v>
      </c>
      <c r="G70" s="359">
        <f t="shared" ca="1" si="11"/>
        <v>0</v>
      </c>
      <c r="I70" s="146">
        <f t="shared" si="12"/>
        <v>0</v>
      </c>
      <c r="L70" s="263" t="str">
        <f ca="1">IF($C$40=0,"",IF(AND(ABS(G70)&gt;$M$3,ABS(I70)&gt;$M$2),"C",IF(AND(ABS(C70+E70)&gt;0,E70=0,ABS(G70)&gt;$M$3),"C","")))</f>
        <v/>
      </c>
    </row>
    <row r="71" spans="1:14" x14ac:dyDescent="0.25">
      <c r="A71" s="848" t="s">
        <v>700</v>
      </c>
      <c r="B71" s="894"/>
      <c r="C71" s="316">
        <f ca="1">SUM(C61:C70)</f>
        <v>0</v>
      </c>
      <c r="D71" s="250"/>
      <c r="E71" s="316">
        <f>SUM(E61:E70)</f>
        <v>5945000</v>
      </c>
      <c r="G71" s="359">
        <f t="shared" ca="1" si="11"/>
        <v>-5945000</v>
      </c>
      <c r="I71" s="146">
        <f t="shared" ca="1" si="12"/>
        <v>-1</v>
      </c>
    </row>
    <row r="72" spans="1:14" x14ac:dyDescent="0.25">
      <c r="A72" s="129"/>
      <c r="B72" s="129"/>
      <c r="G72" s="251"/>
      <c r="I72" s="146"/>
    </row>
    <row r="73" spans="1:14" x14ac:dyDescent="0.25">
      <c r="A73" s="125" t="s">
        <v>690</v>
      </c>
      <c r="G73" s="250"/>
    </row>
    <row r="74" spans="1:14" x14ac:dyDescent="0.25">
      <c r="A74" s="848" t="s">
        <v>730</v>
      </c>
      <c r="B74" s="894"/>
      <c r="C74" s="145">
        <f ca="1">IF(ISNA(INDEX(ACFR_Stmts!$B$13:$F$113,MATCH($A74,ACFR_Stmts!$B$13:$B$113,0),5)),0,(INDEX(ACFR_Stmts!$B$13:$F$113,MATCH($A74,ACFR_Stmts!$B$13:$B$113,0),5)))</f>
        <v>0</v>
      </c>
      <c r="E74" s="145">
        <f>IF(ISNA(INDEX(PriorYrBal!$A$6:$L$113,MATCH($A74,PriorYrBal!$A$6:$A$113,0),MATCH($B$6,PriorYrBal!$A$9:$L$9,0))),0,(INDEX(PriorYrBal!$A$6:$L$113,MATCH($A74,PriorYrBal!$A$6:$A$113,0),MATCH($B$6,PriorYrBal!$A$9:$L$9,0))))</f>
        <v>2399000</v>
      </c>
      <c r="G74" s="359">
        <f ca="1">C74-E74</f>
        <v>-2399000</v>
      </c>
      <c r="I74" s="146">
        <f ca="1">IF(E74=0,0,G74/E74)</f>
        <v>-1</v>
      </c>
      <c r="L74" s="361" t="s">
        <v>644</v>
      </c>
    </row>
    <row r="75" spans="1:14" x14ac:dyDescent="0.25">
      <c r="A75" s="9" t="s">
        <v>262</v>
      </c>
      <c r="B75" s="9"/>
      <c r="G75" s="359"/>
      <c r="I75" s="146"/>
    </row>
    <row r="76" spans="1:14" x14ac:dyDescent="0.25">
      <c r="A76" s="850" t="s">
        <v>377</v>
      </c>
      <c r="B76" s="866"/>
      <c r="C76" s="145">
        <f ca="1">IF(ISNA(INDEX(ACFR_Stmts!$B$13:$F$113,MATCH($A76,ACFR_Stmts!$B$13:$B$113,0),5)),0,(INDEX(ACFR_Stmts!$B$13:$F$113,MATCH($A76,ACFR_Stmts!$B$13:$B$113,0),5)))</f>
        <v>0</v>
      </c>
      <c r="D76" s="250"/>
      <c r="E76" s="145">
        <f>IF(ISNA(INDEX(PriorYrBal!$A$6:$L$113,MATCH($A76,PriorYrBal!$A$6:$A$113,0),MATCH($B$6,PriorYrBal!$A$9:$L$9,0))),0,(INDEX(PriorYrBal!$A$6:$L$113,MATCH($A76,PriorYrBal!$A$6:$A$113,0),MATCH($B$6,PriorYrBal!$A$9:$L$9,0))))</f>
        <v>0</v>
      </c>
      <c r="G76" s="359">
        <f ca="1">C76-E76</f>
        <v>0</v>
      </c>
      <c r="I76" s="146">
        <f>IF(E76=0,0,G76/E76)</f>
        <v>0</v>
      </c>
      <c r="L76" s="361" t="s">
        <v>644</v>
      </c>
    </row>
    <row r="77" spans="1:14" x14ac:dyDescent="0.25">
      <c r="A77" s="850" t="s">
        <v>192</v>
      </c>
      <c r="B77" s="866"/>
      <c r="C77" s="145">
        <f ca="1">IF(ISNA(INDEX(ACFR_Stmts!$B$13:$F$113,MATCH($A77,ACFR_Stmts!$B$13:$B$113,0),5)),0,(INDEX(ACFR_Stmts!$B$13:$F$113,MATCH($A77,ACFR_Stmts!$B$13:$B$113,0),5)))</f>
        <v>0</v>
      </c>
      <c r="D77" s="250"/>
      <c r="E77" s="145">
        <f>IF(ISNA(INDEX(PriorYrBal!$A$6:$L$113,MATCH($A77,PriorYrBal!$A$6:$A$113,0),MATCH($B$6,PriorYrBal!$A$9:$L$9,0))),0,(INDEX(PriorYrBal!$A$6:$L$113,MATCH($A77,PriorYrBal!$A$6:$A$113,0),MATCH($B$6,PriorYrBal!$A$9:$L$9,0))))</f>
        <v>0</v>
      </c>
      <c r="G77" s="359">
        <f ca="1">C77-E77</f>
        <v>0</v>
      </c>
      <c r="I77" s="146">
        <f>IF(E77=0,0,G77/E77)</f>
        <v>0</v>
      </c>
      <c r="L77" s="361" t="s">
        <v>644</v>
      </c>
    </row>
    <row r="78" spans="1:14" x14ac:dyDescent="0.25">
      <c r="A78" s="850" t="s">
        <v>350</v>
      </c>
      <c r="B78" s="866"/>
      <c r="C78" s="145">
        <f ca="1">IF(ISNA(INDEX(ACFR_Stmts!$B$13:$F$113,MATCH($A78,ACFR_Stmts!$B$13:$B$113,0),5)),0,(INDEX(ACFR_Stmts!$B$13:$F$113,MATCH($A78,ACFR_Stmts!$B$13:$B$113,0),5)))</f>
        <v>0</v>
      </c>
      <c r="D78" s="250"/>
      <c r="E78" s="145">
        <f>IF(ISNA(INDEX(PriorYrBal!$A$6:$L$113,MATCH($A78,PriorYrBal!$A$6:$A$113,0),MATCH($B$6,PriorYrBal!$A$9:$L$9,0))),0,(INDEX(PriorYrBal!$A$6:$L$113,MATCH($A78,PriorYrBal!$A$6:$A$113,0),MATCH($B$6,PriorYrBal!$A$9:$L$9,0))))</f>
        <v>875081000</v>
      </c>
      <c r="G78" s="359">
        <f ca="1">C78-E78</f>
        <v>-875081000</v>
      </c>
      <c r="I78" s="146">
        <f ca="1">IF(E78=0,0,G78/E78)</f>
        <v>-1</v>
      </c>
      <c r="L78" s="361" t="s">
        <v>644</v>
      </c>
    </row>
    <row r="79" spans="1:14" x14ac:dyDescent="0.25">
      <c r="A79" s="894" t="s">
        <v>246</v>
      </c>
      <c r="B79" s="894"/>
      <c r="C79" s="145">
        <f ca="1">IF(ISNA(INDEX(ACFR_Stmts!$B$13:$F$113,MATCH($A79,ACFR_Stmts!$B$13:$B$113,0),5)),0,(INDEX(ACFR_Stmts!$B$13:$F$113,MATCH($A79,ACFR_Stmts!$B$13:$B$113,0),5)))</f>
        <v>0</v>
      </c>
      <c r="E79" s="145">
        <f>IF(ISNA(INDEX(PriorYrBal!$A$6:$L$113,MATCH($A79,PriorYrBal!$A$6:$A$113,0),MATCH($B$6,PriorYrBal!$A$9:$L$9,0))),0,(INDEX(PriorYrBal!$A$6:$L$113,MATCH($A79,PriorYrBal!$A$6:$A$113,0),MATCH($B$6,PriorYrBal!$A$9:$L$9,0))))</f>
        <v>19770000</v>
      </c>
      <c r="G79" s="359">
        <f ca="1">C79-E79</f>
        <v>-19770000</v>
      </c>
      <c r="I79" s="146">
        <f ca="1">IF(E79=0,0,G79/E79)</f>
        <v>-1</v>
      </c>
      <c r="L79" s="361" t="s">
        <v>644</v>
      </c>
    </row>
    <row r="80" spans="1:14" ht="13.8" thickBot="1" x14ac:dyDescent="0.3">
      <c r="A80" s="848" t="s">
        <v>676</v>
      </c>
      <c r="B80" s="894"/>
      <c r="C80" s="321">
        <f ca="1">SUM(C74:C79)</f>
        <v>0</v>
      </c>
      <c r="E80" s="321">
        <f>SUM(E74:E79)</f>
        <v>897250000</v>
      </c>
      <c r="G80" s="359">
        <f ca="1">C80-E80</f>
        <v>-897250000</v>
      </c>
      <c r="I80" s="146">
        <f ca="1">IF(E80=0,0,G80/E80)</f>
        <v>-1</v>
      </c>
      <c r="L80" s="361" t="s">
        <v>644</v>
      </c>
    </row>
    <row r="81" spans="1:15" ht="13.8" thickTop="1" x14ac:dyDescent="0.25">
      <c r="A81" s="129"/>
      <c r="B81" s="129"/>
      <c r="G81" s="323"/>
      <c r="I81" s="146"/>
    </row>
    <row r="82" spans="1:15" ht="13.8" x14ac:dyDescent="0.3">
      <c r="A82" s="134" t="s">
        <v>675</v>
      </c>
      <c r="B82" s="134"/>
      <c r="C82" s="248" t="str">
        <f ca="1">IF(ROUND(C32+C40-C58-C71,2)=C80,"In Bal.","NOT BALANCED")</f>
        <v>In Bal.</v>
      </c>
      <c r="E82" s="248" t="str">
        <f>IF(ROUND(E32+E40-E58-E71,2)=E80,"In Bal.","NOT BALANCED")</f>
        <v>In Bal.</v>
      </c>
      <c r="G82" s="323"/>
    </row>
    <row r="83" spans="1:15" x14ac:dyDescent="0.25">
      <c r="A83" s="134" t="s">
        <v>699</v>
      </c>
      <c r="B83" s="134"/>
      <c r="G83" s="323"/>
    </row>
    <row r="84" spans="1:15" x14ac:dyDescent="0.25">
      <c r="A84" s="134"/>
      <c r="B84" s="134"/>
      <c r="G84" s="323"/>
    </row>
    <row r="85" spans="1:15" x14ac:dyDescent="0.25">
      <c r="A85" s="147"/>
      <c r="B85" s="147"/>
      <c r="C85" s="249"/>
      <c r="G85" s="323"/>
    </row>
    <row r="86" spans="1:15" x14ac:dyDescent="0.25">
      <c r="A86" s="135" t="s">
        <v>728</v>
      </c>
      <c r="B86" s="135"/>
      <c r="G86" s="323"/>
    </row>
    <row r="87" spans="1:15" x14ac:dyDescent="0.25">
      <c r="A87" s="894" t="s">
        <v>351</v>
      </c>
      <c r="B87" s="894"/>
      <c r="C87" s="337">
        <f ca="1">IF(ISNA(INDEX(ACFR_Stmts!$B$13:$F$113,MATCH($A87,ACFR_Stmts!$B$13:$B$113,0),5)),0,(INDEX(ACFR_Stmts!$B$13:$F$113,MATCH($A87,ACFR_Stmts!$B$13:$B$113,0),5)))</f>
        <v>0</v>
      </c>
      <c r="E87" s="337">
        <f>IF(ISNA(INDEX(PriorYrBal!$A$6:$L$113,MATCH($A87,PriorYrBal!$A$6:$A$113,0),MATCH($B$6,PriorYrBal!$A$9:$L$9,0))),0,(INDEX(PriorYrBal!$A$6:$L$113,MATCH($A87,PriorYrBal!$A$6:$A$113,0),MATCH($B$6,PriorYrBal!$A$9:$L$9,0))))</f>
        <v>312891000</v>
      </c>
      <c r="G87" s="359">
        <f t="shared" ref="G87:G99" ca="1" si="14">C87-E87</f>
        <v>-312891000</v>
      </c>
      <c r="I87" s="146">
        <f t="shared" ref="I87:I99" ca="1" si="15">IF(E87=0,0,G87/E87)</f>
        <v>-1</v>
      </c>
      <c r="L87" s="263" t="str">
        <f ca="1">IF($C$32=0,"",IF(AND(ABS(G87)&gt;$M$3,ABS(I87)&gt;$M$2),"C",IF(AND(ABS(C87+E87)&gt;0,E87=0,ABS(G87)&gt;$M$3),"C","")))</f>
        <v/>
      </c>
    </row>
    <row r="88" spans="1:15" x14ac:dyDescent="0.25">
      <c r="A88" s="874" t="s">
        <v>617</v>
      </c>
      <c r="B88" s="874"/>
      <c r="C88" s="145">
        <f ca="1">IF(ISNA(INDEX(ACFR_Stmts!$B$13:$F$113,MATCH($A88,ACFR_Stmts!$B$13:$B$113,0),5)),0,(INDEX(ACFR_Stmts!$B$13:$F$113,MATCH($A88,ACFR_Stmts!$B$13:$B$113,0),5)))</f>
        <v>0</v>
      </c>
      <c r="E88" s="145">
        <f>IF(ISNA(INDEX(PriorYrBal!$A$6:$L$113,MATCH($A88,PriorYrBal!$A$6:$A$113,0),MATCH($B$6,PriorYrBal!$A$9:$L$9,0))),0,(INDEX(PriorYrBal!$A$6:$L$113,MATCH($A88,PriorYrBal!$A$6:$A$113,0),MATCH($B$6,PriorYrBal!$A$9:$L$9,0))))</f>
        <v>38418000</v>
      </c>
      <c r="G88" s="359">
        <f ca="1">C88-E88</f>
        <v>-38418000</v>
      </c>
      <c r="I88" s="146">
        <f ca="1">IF(E88=0,0,G88/E88)</f>
        <v>-1</v>
      </c>
      <c r="L88" s="263" t="str">
        <f ca="1">IF($C$32=0,"",IF(AND(ABS(G88)&gt;$M$3,ABS(I88)&gt;$M$2),"C",IF(AND(ABS(C88+E88)&gt;0,E88=0,ABS(G88)&gt;$M$3),"C","")))</f>
        <v/>
      </c>
    </row>
    <row r="89" spans="1:15" s="646" customFormat="1" x14ac:dyDescent="0.25">
      <c r="A89" s="887" t="s">
        <v>1307</v>
      </c>
      <c r="B89" s="887"/>
      <c r="C89" s="145">
        <f ca="1">IF(ISNA(INDEX(ACFR_Stmts!$B$13:$F$113,MATCH($A89,ACFR_Stmts!$B$13:$B$113,0),5)),0,(INDEX(ACFR_Stmts!$B$13:$F$113,MATCH($A89,ACFR_Stmts!$B$13:$B$113,0),5)))</f>
        <v>0</v>
      </c>
      <c r="E89" s="145">
        <f>IF(ISNA(INDEX(PriorYrBal!$A$6:$L$113,MATCH($A89,PriorYrBal!$A$6:$A$113,0),MATCH($B$6,PriorYrBal!$A$9:$L$9,0))),0,(INDEX(PriorYrBal!$A$6:$L$113,MATCH($A89,PriorYrBal!$A$6:$A$113,0),MATCH($B$6,PriorYrBal!$A$9:$L$9,0))))</f>
        <v>0</v>
      </c>
      <c r="G89" s="359">
        <f ca="1">C89-E89</f>
        <v>0</v>
      </c>
      <c r="I89" s="146">
        <f>IF(E89=0,0,G89/E89)</f>
        <v>0</v>
      </c>
      <c r="L89" s="263"/>
      <c r="O89" s="500"/>
    </row>
    <row r="90" spans="1:15" x14ac:dyDescent="0.25">
      <c r="A90" s="894" t="s">
        <v>352</v>
      </c>
      <c r="B90" s="894"/>
      <c r="C90" s="145">
        <f ca="1">IF(ISNA(INDEX(ACFR_Stmts!$B$13:$F$113,MATCH($A90,ACFR_Stmts!$B$13:$B$113,0),5)),0,(INDEX(ACFR_Stmts!$B$13:$F$113,MATCH($A90,ACFR_Stmts!$B$13:$B$113,0),5)))</f>
        <v>0</v>
      </c>
      <c r="E90" s="145">
        <f>IF(ISNA(INDEX(PriorYrBal!$A$6:$L$113,MATCH($A90,PriorYrBal!$A$6:$A$113,0),MATCH($B$6,PriorYrBal!$A$9:$L$9,0))),0,(INDEX(PriorYrBal!$A$6:$L$113,MATCH($A90,PriorYrBal!$A$6:$A$113,0),MATCH($B$6,PriorYrBal!$A$9:$L$9,0))))</f>
        <v>44018000</v>
      </c>
      <c r="G90" s="359">
        <f t="shared" ca="1" si="14"/>
        <v>-44018000</v>
      </c>
      <c r="I90" s="146">
        <f t="shared" ca="1" si="15"/>
        <v>-1</v>
      </c>
      <c r="L90" s="263" t="str">
        <f ca="1">IF($C$32=0,"",IF(AND(ABS(G90)&gt;$M$3,ABS(I90)&gt;$M$2),"C",IF(AND(ABS(C90+E90)&gt;0,E90=0,ABS(G90)&gt;$M$3),"C","")))</f>
        <v/>
      </c>
    </row>
    <row r="91" spans="1:15" s="646" customFormat="1" x14ac:dyDescent="0.25">
      <c r="A91" s="887" t="s">
        <v>1224</v>
      </c>
      <c r="B91" s="887"/>
      <c r="C91" s="145">
        <f ca="1">IF(ISNA(INDEX(ACFR_Stmts!$B$13:$F$113,MATCH($A91,ACFR_Stmts!$B$13:$B$113,0),5)),0,(INDEX(ACFR_Stmts!$B$13:$F$113,MATCH($A91,ACFR_Stmts!$B$13:$B$113,0),5)))</f>
        <v>0</v>
      </c>
      <c r="E91" s="145">
        <f>IF(ISNA(INDEX(PriorYrBal!$A$6:$L$113,MATCH($A91,PriorYrBal!$A$6:$A$113,0),MATCH($B$6,PriorYrBal!$A$9:$L$9,0))),0,(INDEX(PriorYrBal!$A$6:$L$113,MATCH($A91,PriorYrBal!$A$6:$A$113,0),MATCH($B$6,PriorYrBal!$A$9:$L$9,0))))</f>
        <v>0</v>
      </c>
      <c r="G91" s="359">
        <f t="shared" ca="1" si="14"/>
        <v>0</v>
      </c>
      <c r="I91" s="146">
        <f t="shared" si="15"/>
        <v>0</v>
      </c>
      <c r="L91" s="263"/>
      <c r="O91" s="500"/>
    </row>
    <row r="92" spans="1:15" x14ac:dyDescent="0.25">
      <c r="A92" s="874" t="s">
        <v>326</v>
      </c>
      <c r="B92" s="874"/>
      <c r="C92" s="145">
        <f ca="1">IF(ISNA(INDEX(ACFR_Stmts!$B$13:$F$113,MATCH($A92,ACFR_Stmts!$B$13:$B$113,0),5)),0,(INDEX(ACFR_Stmts!$B$13:$F$113,MATCH($A92,ACFR_Stmts!$B$13:$B$113,0),5)))</f>
        <v>0</v>
      </c>
      <c r="E92" s="145">
        <f>IF(ISNA(INDEX(PriorYrBal!$A$6:$L$113,MATCH($A92,PriorYrBal!$A$6:$A$113,0),MATCH($B$6,PriorYrBal!$A$9:$L$9,0))),0,(INDEX(PriorYrBal!$A$6:$L$113,MATCH($A92,PriorYrBal!$A$6:$A$113,0),MATCH($B$6,PriorYrBal!$A$9:$L$9,0))))</f>
        <v>0</v>
      </c>
      <c r="G92" s="359">
        <f t="shared" ca="1" si="14"/>
        <v>0</v>
      </c>
      <c r="I92" s="146">
        <f t="shared" si="15"/>
        <v>0</v>
      </c>
      <c r="L92" s="263" t="str">
        <f ca="1">IF($C$32=0,"",IF(AND(ABS(G92)&gt;$M$3,ABS(I92)&gt;$M$2),"C",IF(AND(ABS(C92+E92)&gt;0,E92=0,ABS(G92)&gt;$M$3),"C","")))</f>
        <v/>
      </c>
    </row>
    <row r="93" spans="1:15" x14ac:dyDescent="0.25">
      <c r="A93" s="894" t="s">
        <v>353</v>
      </c>
      <c r="B93" s="894"/>
      <c r="C93" s="145">
        <f ca="1">IF(ISNA(INDEX(ACFR_Stmts!$B$13:$F$113,MATCH($A93,ACFR_Stmts!$B$13:$B$113,0),5)),0,(INDEX(ACFR_Stmts!$B$13:$F$113,MATCH($A93,ACFR_Stmts!$B$13:$B$113,0),5)))</f>
        <v>0</v>
      </c>
      <c r="E93" s="145">
        <f>IF(ISNA(INDEX(PriorYrBal!$A$6:$L$113,MATCH($A93,PriorYrBal!$A$6:$A$113,0),MATCH($B$6,PriorYrBal!$A$9:$L$9,0))),0,(INDEX(PriorYrBal!$A$6:$L$113,MATCH($A93,PriorYrBal!$A$6:$A$113,0),MATCH($B$6,PriorYrBal!$A$9:$L$9,0))))</f>
        <v>0</v>
      </c>
      <c r="G93" s="359">
        <f t="shared" ca="1" si="14"/>
        <v>0</v>
      </c>
      <c r="I93" s="146">
        <f t="shared" si="15"/>
        <v>0</v>
      </c>
      <c r="L93" s="263" t="str">
        <f ca="1">IF($C$32=0,"",IF(AND(ABS(G93)&gt;$M$3,ABS(I93)&gt;$M$2),"C",IF(AND(ABS(C93+E93)&gt;0,E93=0,ABS(G93)&gt;$M$3),"C","")))</f>
        <v/>
      </c>
    </row>
    <row r="94" spans="1:15" x14ac:dyDescent="0.25">
      <c r="A94" s="874" t="s">
        <v>1050</v>
      </c>
      <c r="B94" s="874"/>
      <c r="C94" s="145">
        <f ca="1">IF(ISNA(INDEX(ACFR_Stmts!$B$13:$F$113,MATCH($A94,ACFR_Stmts!$B$13:$B$113,0),5)),0,(INDEX(ACFR_Stmts!$B$13:$F$113,MATCH($A94,ACFR_Stmts!$B$13:$B$113,0),5)))</f>
        <v>0</v>
      </c>
      <c r="E94" s="145">
        <f>IF(ISNA(INDEX(PriorYrBal!$A$6:$L$113,MATCH($A94,PriorYrBal!$A$6:$A$113,0),MATCH($B$6,PriorYrBal!$A$9:$L$9,0))),0,(INDEX(PriorYrBal!$A$6:$L$113,MATCH($A94,PriorYrBal!$A$6:$A$113,0),MATCH($B$6,PriorYrBal!$A$9:$L$9,0))))</f>
        <v>0</v>
      </c>
      <c r="G94" s="359">
        <f t="shared" ref="G94" ca="1" si="16">C94-E94</f>
        <v>0</v>
      </c>
      <c r="I94" s="146">
        <f t="shared" ref="I94" si="17">IF(E94=0,0,G94/E94)</f>
        <v>0</v>
      </c>
      <c r="L94" s="263" t="str">
        <f ca="1">IF($C$32=0,"",IF(AND(ABS(G94)&gt;$M$3,ABS(I94)&gt;$M$2),"C",IF(AND(ABS(C94+E94)&gt;0,E94=0,ABS(G94)&gt;$M$3),"C","")))</f>
        <v/>
      </c>
    </row>
    <row r="95" spans="1:15" x14ac:dyDescent="0.25">
      <c r="A95" s="874" t="s">
        <v>618</v>
      </c>
      <c r="B95" s="874"/>
      <c r="C95" s="145">
        <f ca="1">IF(ISNA(INDEX(ACFR_Stmts!$B$13:$F$113,MATCH($A95,ACFR_Stmts!$B$13:$B$113,0),5)),0,(INDEX(ACFR_Stmts!$B$13:$F$113,MATCH($A95,ACFR_Stmts!$B$13:$B$113,0),5)))</f>
        <v>0</v>
      </c>
      <c r="E95" s="145">
        <f>IF(ISNA(INDEX(PriorYrBal!$A$6:$L$113,MATCH($A95,PriorYrBal!$A$6:$A$113,0),MATCH($B$6,PriorYrBal!$A$9:$L$9,0))),0,(INDEX(PriorYrBal!$A$6:$L$113,MATCH($A95,PriorYrBal!$A$6:$A$113,0),MATCH($B$6,PriorYrBal!$A$9:$L$9,0))))</f>
        <v>30660000</v>
      </c>
      <c r="G95" s="359">
        <f t="shared" ca="1" si="14"/>
        <v>-30660000</v>
      </c>
      <c r="I95" s="146">
        <f t="shared" ca="1" si="15"/>
        <v>-1</v>
      </c>
      <c r="L95" s="263" t="str">
        <f ca="1">IF($C$32=0,"",IF(AND(ABS(G95)&gt;$M$3,ABS(I95)&gt;$M$2),"C",IF(AND(ABS(C95+E95)&gt;0,E95=0,ABS(G95)&gt;$M$3),"C","")))</f>
        <v/>
      </c>
    </row>
    <row r="96" spans="1:15" s="743" customFormat="1" x14ac:dyDescent="0.25">
      <c r="A96" s="874" t="s">
        <v>1351</v>
      </c>
      <c r="B96" s="874"/>
      <c r="C96" s="145">
        <f ca="1">IF(ISNA(INDEX(ACFR_Stmts!$B$13:$F$113,MATCH($A96,ACFR_Stmts!$B$13:$B$113,0),5)),0,(INDEX(ACFR_Stmts!$B$13:$F$113,MATCH($A96,ACFR_Stmts!$B$13:$B$113,0),5)))</f>
        <v>0</v>
      </c>
      <c r="E96" s="145">
        <f>IF(ISNA(INDEX(PriorYrBal!$A$6:$L$113,MATCH($A96,PriorYrBal!$A$6:$A$113,0),MATCH($B$6,PriorYrBal!$A$9:$L$9,0))),0,(INDEX(PriorYrBal!$A$6:$L$113,MATCH($A96,PriorYrBal!$A$6:$A$113,0),MATCH($B$6,PriorYrBal!$A$9:$L$9,0))))</f>
        <v>228000</v>
      </c>
      <c r="G96" s="359">
        <f t="shared" ca="1" si="14"/>
        <v>-228000</v>
      </c>
      <c r="I96" s="146">
        <f t="shared" ca="1" si="15"/>
        <v>-1</v>
      </c>
      <c r="L96" s="263"/>
    </row>
    <row r="97" spans="1:12" s="789" customFormat="1" x14ac:dyDescent="0.25">
      <c r="A97" s="862" t="s">
        <v>1421</v>
      </c>
      <c r="B97" s="896"/>
      <c r="C97" s="145">
        <f ca="1">IF(ISNA(INDEX(ACFR_Stmts!$B$13:$F$113,MATCH($A97,ACFR_Stmts!$B$13:$B$113,0),5)),0,(INDEX(ACFR_Stmts!$B$13:$F$113,MATCH($A97,ACFR_Stmts!$B$13:$B$113,0),5)))</f>
        <v>0</v>
      </c>
      <c r="E97" s="145">
        <f>IF(ISNA(INDEX(PriorYrBal!$A$6:$L$113,MATCH($A97,PriorYrBal!$A$6:$A$113,0),MATCH($B$6,PriorYrBal!$A$9:$L$9,0))),0,(INDEX(PriorYrBal!$A$6:$L$113,MATCH($A97,PriorYrBal!$A$6:$A$113,0),MATCH($B$6,PriorYrBal!$A$9:$L$9,0))))</f>
        <v>0</v>
      </c>
      <c r="G97" s="359">
        <f t="shared" ca="1" si="14"/>
        <v>0</v>
      </c>
      <c r="I97" s="146">
        <f t="shared" ref="I97" si="18">IF(E97=0,0,G97/E97)</f>
        <v>0</v>
      </c>
      <c r="L97" s="263"/>
    </row>
    <row r="98" spans="1:12" x14ac:dyDescent="0.25">
      <c r="A98" s="894" t="s">
        <v>355</v>
      </c>
      <c r="B98" s="894"/>
      <c r="C98" s="145">
        <f ca="1">IF(ISNA(INDEX(ACFR_Stmts!$B$13:$F$113,MATCH($A98,ACFR_Stmts!$B$13:$B$113,0),5)),0,(INDEX(ACFR_Stmts!$B$13:$F$113,MATCH($A98,ACFR_Stmts!$B$13:$B$113,0),5)))</f>
        <v>0</v>
      </c>
      <c r="E98" s="145">
        <f>IF(ISNA(INDEX(PriorYrBal!$A$6:$L$113,MATCH($A98,PriorYrBal!$A$6:$A$113,0),MATCH($B$6,PriorYrBal!$A$9:$L$9,0))),0,(INDEX(PriorYrBal!$A$6:$L$113,MATCH($A98,PriorYrBal!$A$6:$A$113,0),MATCH($B$6,PriorYrBal!$A$9:$L$9,0))))</f>
        <v>0</v>
      </c>
      <c r="G98" s="359">
        <f t="shared" ca="1" si="14"/>
        <v>0</v>
      </c>
      <c r="I98" s="146">
        <f t="shared" si="15"/>
        <v>0</v>
      </c>
      <c r="L98" s="263" t="str">
        <f ca="1">IF($C$32=0,"",IF(AND(ABS(G98)&gt;$M$3,ABS(I98)&gt;$M$2),"C",IF(AND(ABS(C98+E98)&gt;0,E98=0,ABS(G98)&gt;$M$3),"C","")))</f>
        <v/>
      </c>
    </row>
    <row r="99" spans="1:12" x14ac:dyDescent="0.25">
      <c r="A99" s="848" t="s">
        <v>251</v>
      </c>
      <c r="B99" s="894"/>
      <c r="C99" s="316">
        <f ca="1">SUM(C87:C98)</f>
        <v>0</v>
      </c>
      <c r="E99" s="316">
        <f>SUM(E87:E98)</f>
        <v>426215000</v>
      </c>
      <c r="G99" s="359">
        <f t="shared" ca="1" si="14"/>
        <v>-426215000</v>
      </c>
      <c r="I99" s="146">
        <f t="shared" ca="1" si="15"/>
        <v>-1</v>
      </c>
    </row>
    <row r="100" spans="1:12" ht="11.25" customHeight="1" x14ac:dyDescent="0.25">
      <c r="A100" s="129"/>
      <c r="B100" s="129"/>
      <c r="C100" s="181"/>
      <c r="E100" s="181"/>
      <c r="G100" s="323"/>
      <c r="I100" s="146"/>
    </row>
    <row r="101" spans="1:12" x14ac:dyDescent="0.25">
      <c r="A101" s="135" t="s">
        <v>729</v>
      </c>
      <c r="B101" s="135"/>
      <c r="G101" s="251"/>
      <c r="I101" s="146"/>
    </row>
    <row r="102" spans="1:12" x14ac:dyDescent="0.25">
      <c r="A102" s="894" t="s">
        <v>253</v>
      </c>
      <c r="B102" s="894"/>
      <c r="C102" s="145">
        <f ca="1">IF(ISNA(INDEX(ACFR_Stmts!$B$13:$F$113,MATCH($A102,ACFR_Stmts!$B$13:$B$113,0),5)),0,(INDEX(ACFR_Stmts!$B$13:$F$113,MATCH($A102,ACFR_Stmts!$B$13:$B$113,0),5)))</f>
        <v>0</v>
      </c>
      <c r="D102" s="250"/>
      <c r="E102" s="145">
        <f>IF(ISNA(INDEX(PriorYrBal!$A$6:$L$113,MATCH($A102,PriorYrBal!$A$6:$A$113,0),MATCH($B$6,PriorYrBal!$A$9:$L$9,0))),0,(INDEX(PriorYrBal!$A$6:$L$113,MATCH($A102,PriorYrBal!$A$6:$A$113,0),MATCH($B$6,PriorYrBal!$A$9:$L$9,0))))</f>
        <v>368842000</v>
      </c>
      <c r="G102" s="359">
        <f t="shared" ref="G102:G107" ca="1" si="19">C102-E102</f>
        <v>-368842000</v>
      </c>
      <c r="I102" s="146">
        <f t="shared" ref="I102:I107" ca="1" si="20">IF(E102=0,0,G102/E102)</f>
        <v>-1</v>
      </c>
      <c r="L102" s="263" t="str">
        <f ca="1">IF($C$32=0,"",IF(AND(ABS(G102)&gt;$M$3,ABS(I102)&gt;$M$2),"C",IF(AND(ABS(C102+E102)&gt;0,E102=0,ABS(G102)&gt;$M$3),"C","")))</f>
        <v/>
      </c>
    </row>
    <row r="103" spans="1:12" x14ac:dyDescent="0.25">
      <c r="A103" s="894"/>
      <c r="B103" s="894"/>
      <c r="C103" s="250"/>
      <c r="D103" s="250"/>
      <c r="E103" s="250"/>
      <c r="G103" s="251"/>
      <c r="I103" s="146"/>
    </row>
    <row r="104" spans="1:12" x14ac:dyDescent="0.25">
      <c r="A104" s="894" t="s">
        <v>164</v>
      </c>
      <c r="B104" s="894"/>
      <c r="C104" s="145">
        <f ca="1">IF(ISNA(INDEX(ACFR_Stmts!$B$13:$F$113,MATCH($A104,ACFR_Stmts!$B$13:$B$113,0),5)),0,(INDEX(ACFR_Stmts!$B$13:$F$113,MATCH($A104,ACFR_Stmts!$B$13:$B$113,0),5)))</f>
        <v>0</v>
      </c>
      <c r="D104" s="250"/>
      <c r="E104" s="145">
        <f>IF(ISNA(INDEX(PriorYrBal!$A$6:$L$113,MATCH($A104,PriorYrBal!$A$6:$A$113,0),MATCH($B$6,PriorYrBal!$A$9:$L$9,0))),0,(INDEX(PriorYrBal!$A$6:$L$113,MATCH($A104,PriorYrBal!$A$6:$A$113,0),MATCH($B$6,PriorYrBal!$A$9:$L$9,0))))</f>
        <v>0</v>
      </c>
      <c r="G104" s="359">
        <f t="shared" ca="1" si="19"/>
        <v>0</v>
      </c>
      <c r="I104" s="146">
        <f t="shared" si="20"/>
        <v>0</v>
      </c>
      <c r="L104" s="263" t="str">
        <f ca="1">IF($C$32=0,"",IF(AND(ABS(G104)&gt;$M$3,ABS(I104)&gt;$M$2),"C",IF(AND(ABS(C104+E104)&gt;0,E104=0,ABS(G104)&gt;$M$3),"C","")))</f>
        <v/>
      </c>
    </row>
    <row r="105" spans="1:12" x14ac:dyDescent="0.25">
      <c r="A105" s="894" t="s">
        <v>165</v>
      </c>
      <c r="B105" s="894"/>
      <c r="C105" s="145">
        <f ca="1">IF(ISNA(INDEX(ACFR_Stmts!$B$13:$F$113,MATCH($A105,ACFR_Stmts!$B$13:$B$113,0),5)),0,(INDEX(ACFR_Stmts!$B$13:$F$113,MATCH($A105,ACFR_Stmts!$B$13:$B$113,0),5)))</f>
        <v>0</v>
      </c>
      <c r="D105" s="250"/>
      <c r="E105" s="145">
        <f>IF(ISNA(INDEX(PriorYrBal!$A$6:$L$113,MATCH($A105,PriorYrBal!$A$6:$A$113,0),MATCH($B$6,PriorYrBal!$A$9:$L$9,0))),0,(INDEX(PriorYrBal!$A$6:$L$113,MATCH($A105,PriorYrBal!$A$6:$A$113,0),MATCH($B$6,PriorYrBal!$A$9:$L$9,0))))</f>
        <v>0</v>
      </c>
      <c r="G105" s="359">
        <f t="shared" ca="1" si="19"/>
        <v>0</v>
      </c>
      <c r="I105" s="146">
        <f t="shared" si="20"/>
        <v>0</v>
      </c>
      <c r="L105" s="263" t="str">
        <f ca="1">IF($C$32=0,"",IF(AND(ABS(G105)&gt;$M$3,ABS(I105)&gt;$M$2),"C",IF(AND(ABS(C105+E105)&gt;0,E105=0,ABS(G105)&gt;$M$3),"C","")))</f>
        <v/>
      </c>
    </row>
    <row r="106" spans="1:12" x14ac:dyDescent="0.25">
      <c r="A106" s="894"/>
      <c r="B106" s="894"/>
      <c r="C106" s="250"/>
      <c r="D106" s="250"/>
      <c r="E106" s="250"/>
      <c r="G106" s="323"/>
      <c r="I106" s="146"/>
    </row>
    <row r="107" spans="1:12" x14ac:dyDescent="0.25">
      <c r="A107" s="848" t="s">
        <v>687</v>
      </c>
      <c r="B107" s="894"/>
      <c r="C107" s="338">
        <f ca="1">C99-C102+C104+C105</f>
        <v>0</v>
      </c>
      <c r="D107" s="250"/>
      <c r="E107" s="338">
        <f>E99-E102+E104+E105</f>
        <v>57373000</v>
      </c>
      <c r="G107" s="359">
        <f t="shared" ca="1" si="19"/>
        <v>-57373000</v>
      </c>
      <c r="I107" s="146">
        <f t="shared" ca="1" si="20"/>
        <v>-1</v>
      </c>
      <c r="K107" s="252"/>
      <c r="L107" s="361"/>
    </row>
    <row r="108" spans="1:12" x14ac:dyDescent="0.25">
      <c r="A108" s="894"/>
      <c r="B108" s="894"/>
      <c r="C108" s="250"/>
      <c r="D108" s="250"/>
      <c r="E108" s="250"/>
      <c r="G108" s="323"/>
      <c r="I108" s="146"/>
    </row>
    <row r="109" spans="1:12" x14ac:dyDescent="0.25">
      <c r="A109" s="848" t="s">
        <v>702</v>
      </c>
      <c r="B109" s="894"/>
      <c r="C109" s="145">
        <f ca="1">IF(ISNA(INDEX(ACFR_Stmts!$B$13:$F$113,MATCH($A109,ACFR_Stmts!$B$13:$B$113,0),5)),0,(INDEX(ACFR_Stmts!$B$13:$F$113,MATCH($A109,ACFR_Stmts!$B$13:$B$113,0),5)))</f>
        <v>897250000</v>
      </c>
      <c r="D109" s="250"/>
      <c r="E109" s="145">
        <f>IF(ISNA(INDEX(PriorYrBal!$A$6:$L$113,MATCH($A109,PriorYrBal!$A$6:$A$113,0),MATCH($B$6,PriorYrBal!$A$9:$L$9,0))),0,(INDEX(PriorYrBal!$A$6:$L$113,MATCH($A109,PriorYrBal!$A$6:$A$113,0),MATCH($B$6,PriorYrBal!$A$9:$L$9,0))))</f>
        <v>839877000</v>
      </c>
      <c r="G109" s="359">
        <f ca="1">C109-E109</f>
        <v>57373000</v>
      </c>
      <c r="I109" s="146">
        <f ca="1">IF(E109=0,0,G109/E109)</f>
        <v>6.83E-2</v>
      </c>
      <c r="L109" s="361" t="s">
        <v>644</v>
      </c>
    </row>
    <row r="110" spans="1:12" x14ac:dyDescent="0.25">
      <c r="A110" s="848" t="s">
        <v>661</v>
      </c>
      <c r="B110" s="894"/>
      <c r="C110" s="145">
        <f ca="1">IF(ISNA(INDEX(ACFR_Stmts!$B$13:$F$113,MATCH($A110,ACFR_Stmts!$B$13:$B$113,0),5)),0,(INDEX(ACFR_Stmts!$B$13:$F$113,MATCH($A110,ACFR_Stmts!$B$13:$B$113,0),5)))</f>
        <v>0</v>
      </c>
      <c r="E110" s="145">
        <f>IF(ISNA(INDEX(PriorYrBal!$A$6:$L$113,MATCH($A110,PriorYrBal!$A$6:$A$113,0),MATCH($B$6,PriorYrBal!$A$9:$L$9,0))),0,(INDEX(PriorYrBal!$A$6:$L$113,MATCH($A110,PriorYrBal!$A$6:$A$113,0),MATCH($B$6,PriorYrBal!$A$9:$L$9,0))))</f>
        <v>0</v>
      </c>
      <c r="G110" s="359">
        <f ca="1">C110-E110</f>
        <v>0</v>
      </c>
      <c r="I110" s="146">
        <f>IF(E110=0,0,G110/E110)</f>
        <v>0</v>
      </c>
      <c r="L110" s="361" t="s">
        <v>644</v>
      </c>
    </row>
    <row r="111" spans="1:12" ht="13.8" thickBot="1" x14ac:dyDescent="0.3">
      <c r="A111" s="848" t="s">
        <v>701</v>
      </c>
      <c r="B111" s="894"/>
      <c r="C111" s="321">
        <f ca="1">C107+C109+C110</f>
        <v>897250000</v>
      </c>
      <c r="E111" s="321">
        <f>E107+E109+E110</f>
        <v>897250000</v>
      </c>
      <c r="G111" s="359">
        <f ca="1">C111-E111</f>
        <v>0</v>
      </c>
      <c r="I111" s="146">
        <f ca="1">IF(E111=0,0,G111/E111)</f>
        <v>0</v>
      </c>
      <c r="L111" s="361" t="s">
        <v>644</v>
      </c>
    </row>
    <row r="112" spans="1:12" ht="12" customHeight="1" thickTop="1" x14ac:dyDescent="0.25">
      <c r="G112" s="323"/>
    </row>
    <row r="113" spans="1:5" ht="13.8" x14ac:dyDescent="0.3">
      <c r="A113" s="440" t="s">
        <v>703</v>
      </c>
      <c r="B113" s="440"/>
      <c r="C113" s="248" t="str">
        <f ca="1">IF(ROUND(C80,2)=C111,"In Bal.","NOT")</f>
        <v>NOT</v>
      </c>
      <c r="E113" s="133" t="str">
        <f>IF(ROUND(E80,2)=E111,"In Bal.","NOT")</f>
        <v>In Bal.</v>
      </c>
    </row>
    <row r="114" spans="1:5" x14ac:dyDescent="0.25">
      <c r="A114" s="129"/>
      <c r="B114" s="129"/>
    </row>
    <row r="115" spans="1:5" x14ac:dyDescent="0.25">
      <c r="A115" s="129"/>
      <c r="B115" s="129"/>
    </row>
  </sheetData>
  <sheetProtection algorithmName="SHA-512" hashValue="nYNS+Uubfm3et/m2ZTqq2YZdEBTPLRd5jPr2yqwDf4gooS8b2ae5Y5+0US537XV/ERYwfp+yF8PT0FHaRwNHQg==" saltValue="8sEEkGTgFvMe1rsl0l4R4A==" spinCount="100000" sheet="1" objects="1" scenarios="1" autoFilter="0"/>
  <mergeCells count="91">
    <mergeCell ref="A21:B21"/>
    <mergeCell ref="A69:B69"/>
    <mergeCell ref="A16:B16"/>
    <mergeCell ref="A31:B31"/>
    <mergeCell ref="A25:B25"/>
    <mergeCell ref="A22:B22"/>
    <mergeCell ref="A20:B20"/>
    <mergeCell ref="A45:B45"/>
    <mergeCell ref="A26:B26"/>
    <mergeCell ref="A37:B37"/>
    <mergeCell ref="A39:B39"/>
    <mergeCell ref="A43:B43"/>
    <mergeCell ref="A44:B44"/>
    <mergeCell ref="A32:B32"/>
    <mergeCell ref="A28:B28"/>
    <mergeCell ref="A36:B36"/>
    <mergeCell ref="A1:G1"/>
    <mergeCell ref="A18:B18"/>
    <mergeCell ref="A19:B19"/>
    <mergeCell ref="A13:B13"/>
    <mergeCell ref="A14:B14"/>
    <mergeCell ref="A12:B12"/>
    <mergeCell ref="B6:C6"/>
    <mergeCell ref="F5:I5"/>
    <mergeCell ref="F6:I6"/>
    <mergeCell ref="F7:I7"/>
    <mergeCell ref="A2:J2"/>
    <mergeCell ref="A3:J3"/>
    <mergeCell ref="B7:C7"/>
    <mergeCell ref="A15:B15"/>
    <mergeCell ref="A17:B17"/>
    <mergeCell ref="A27:B27"/>
    <mergeCell ref="A40:B40"/>
    <mergeCell ref="A30:B30"/>
    <mergeCell ref="A111:B111"/>
    <mergeCell ref="A110:B110"/>
    <mergeCell ref="A93:B93"/>
    <mergeCell ref="A95:B95"/>
    <mergeCell ref="A98:B98"/>
    <mergeCell ref="A99:B99"/>
    <mergeCell ref="A109:B109"/>
    <mergeCell ref="A106:B106"/>
    <mergeCell ref="A107:B107"/>
    <mergeCell ref="A108:B108"/>
    <mergeCell ref="A102:B102"/>
    <mergeCell ref="A103:B103"/>
    <mergeCell ref="A104:B104"/>
    <mergeCell ref="A87:B87"/>
    <mergeCell ref="A35:B35"/>
    <mergeCell ref="A88:B88"/>
    <mergeCell ref="A76:B76"/>
    <mergeCell ref="A105:B105"/>
    <mergeCell ref="A94:B94"/>
    <mergeCell ref="A96:B96"/>
    <mergeCell ref="A90:B90"/>
    <mergeCell ref="A92:B92"/>
    <mergeCell ref="A97:B97"/>
    <mergeCell ref="A89:B89"/>
    <mergeCell ref="A91:B91"/>
    <mergeCell ref="A53:B53"/>
    <mergeCell ref="A80:B80"/>
    <mergeCell ref="A79:B79"/>
    <mergeCell ref="A74:B74"/>
    <mergeCell ref="A77:B77"/>
    <mergeCell ref="A71:B71"/>
    <mergeCell ref="A78:B78"/>
    <mergeCell ref="A58:B58"/>
    <mergeCell ref="A61:B61"/>
    <mergeCell ref="A65:B65"/>
    <mergeCell ref="A67:B67"/>
    <mergeCell ref="A63:B63"/>
    <mergeCell ref="A64:B64"/>
    <mergeCell ref="A62:B62"/>
    <mergeCell ref="A70:B70"/>
    <mergeCell ref="A66:B66"/>
    <mergeCell ref="A23:B23"/>
    <mergeCell ref="A38:B38"/>
    <mergeCell ref="A68:B68"/>
    <mergeCell ref="A57:B57"/>
    <mergeCell ref="A46:B46"/>
    <mergeCell ref="A47:B47"/>
    <mergeCell ref="A48:B48"/>
    <mergeCell ref="A50:B50"/>
    <mergeCell ref="A51:B51"/>
    <mergeCell ref="A49:B49"/>
    <mergeCell ref="A24:B24"/>
    <mergeCell ref="A55:B55"/>
    <mergeCell ref="A56:B56"/>
    <mergeCell ref="A54:B54"/>
    <mergeCell ref="A52:B52"/>
    <mergeCell ref="A29:B29"/>
  </mergeCells>
  <phoneticPr fontId="12" type="noConversion"/>
  <conditionalFormatting sqref="K1:K3">
    <cfRule type="cellIs" dxfId="39" priority="1" stopIfTrue="1" operator="equal">
      <formula>"na"</formula>
    </cfRule>
  </conditionalFormatting>
  <hyperlinks>
    <hyperlink ref="A1:G1" location="Index!A1" display="Index!A1" xr:uid="{00000000-0004-0000-0600-000000000000}"/>
  </hyperlinks>
  <pageMargins left="0.7" right="0.45" top="0.5" bottom="0.5" header="0.3" footer="0.3"/>
  <pageSetup scale="69" orientation="portrait" r:id="rId1"/>
  <headerFooter>
    <oddFooter>&amp;R&amp;A</oddFooter>
  </headerFooter>
  <rowBreaks count="1" manualBreakCount="1">
    <brk id="83" max="12"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M88"/>
  <sheetViews>
    <sheetView showGridLines="0" topLeftCell="B21" zoomScaleNormal="100" workbookViewId="0">
      <selection activeCell="B44" sqref="B44"/>
    </sheetView>
  </sheetViews>
  <sheetFormatPr defaultColWidth="9.109375" defaultRowHeight="12.6" x14ac:dyDescent="0.25"/>
  <cols>
    <col min="1" max="1" width="9.109375" style="400" hidden="1" customWidth="1"/>
    <col min="2" max="3" width="3.44140625" style="400" customWidth="1"/>
    <col min="4" max="4" width="7.5546875" style="400" customWidth="1"/>
    <col min="5" max="5" width="8.5546875" style="400" customWidth="1"/>
    <col min="6" max="6" width="22.5546875" style="400" customWidth="1"/>
    <col min="7" max="7" width="7.5546875" style="400" customWidth="1"/>
    <col min="8" max="8" width="8.5546875" style="400" customWidth="1"/>
    <col min="9" max="9" width="7.44140625" style="400" customWidth="1"/>
    <col min="10" max="10" width="21.5546875" style="400" customWidth="1"/>
    <col min="11" max="11" width="4.5546875" style="400" customWidth="1"/>
    <col min="12" max="16384" width="9.109375" style="400"/>
  </cols>
  <sheetData>
    <row r="1" spans="1:12" ht="15.6" x14ac:dyDescent="0.3">
      <c r="A1" s="400" t="s">
        <v>467</v>
      </c>
      <c r="B1" s="847" t="str">
        <f>+Index!$A$1</f>
        <v>Office of the State Controller</v>
      </c>
      <c r="C1" s="847"/>
      <c r="D1" s="847"/>
      <c r="E1" s="847"/>
      <c r="F1" s="847"/>
      <c r="G1" s="847"/>
      <c r="H1" s="847"/>
      <c r="I1" s="847"/>
      <c r="J1" s="847"/>
      <c r="K1" s="902"/>
    </row>
    <row r="2" spans="1:12" ht="15.6" x14ac:dyDescent="0.3">
      <c r="A2" s="400" t="s">
        <v>467</v>
      </c>
      <c r="B2" s="903" t="str">
        <f>+Index!$A$2</f>
        <v>2022 ACFR Worksheets for Nonmajor Component Units</v>
      </c>
      <c r="C2" s="903"/>
      <c r="D2" s="903"/>
      <c r="E2" s="903"/>
      <c r="F2" s="903"/>
      <c r="G2" s="903"/>
      <c r="H2" s="903"/>
      <c r="I2" s="903"/>
      <c r="J2" s="903"/>
      <c r="K2" s="902"/>
    </row>
    <row r="3" spans="1:12" ht="15.6" x14ac:dyDescent="0.3">
      <c r="A3" s="400" t="s">
        <v>467</v>
      </c>
      <c r="B3" s="904" t="s">
        <v>775</v>
      </c>
      <c r="C3" s="904"/>
      <c r="D3" s="904"/>
      <c r="E3" s="904"/>
      <c r="F3" s="904"/>
      <c r="G3" s="904"/>
      <c r="H3" s="904"/>
      <c r="I3" s="904"/>
      <c r="J3" s="904"/>
      <c r="K3" s="902"/>
    </row>
    <row r="4" spans="1:12" ht="12.75" customHeight="1" x14ac:dyDescent="0.25">
      <c r="A4" s="400" t="s">
        <v>467</v>
      </c>
      <c r="B4" s="401"/>
      <c r="C4" s="401"/>
      <c r="D4" s="401"/>
      <c r="E4" s="401"/>
      <c r="F4" s="401"/>
      <c r="G4" s="401"/>
      <c r="H4" s="401"/>
      <c r="I4" s="401"/>
      <c r="J4" s="402"/>
      <c r="K4" s="403"/>
    </row>
    <row r="5" spans="1:12" ht="13.2" x14ac:dyDescent="0.25">
      <c r="A5" s="400" t="s">
        <v>467</v>
      </c>
      <c r="B5" s="404"/>
      <c r="C5" s="404"/>
      <c r="D5" s="404"/>
      <c r="E5" s="405"/>
      <c r="F5" s="406"/>
      <c r="G5" s="407" t="s">
        <v>357</v>
      </c>
      <c r="H5" s="908" t="str">
        <f>Index!$D$10</f>
        <v>0A</v>
      </c>
      <c r="I5" s="908"/>
      <c r="J5" s="908"/>
      <c r="K5" s="427"/>
    </row>
    <row r="6" spans="1:12" ht="13.2" x14ac:dyDescent="0.25">
      <c r="A6" s="400" t="s">
        <v>467</v>
      </c>
      <c r="B6" s="404"/>
      <c r="C6" s="404"/>
      <c r="D6" s="404"/>
      <c r="E6" s="404"/>
      <c r="F6" s="408"/>
      <c r="G6" s="407" t="s">
        <v>358</v>
      </c>
      <c r="H6" s="908" t="str">
        <f>Index!$D$11</f>
        <v>NC Housing Finance Agency</v>
      </c>
      <c r="I6" s="908"/>
      <c r="J6" s="908"/>
      <c r="K6" s="427"/>
    </row>
    <row r="7" spans="1:12" ht="13.2" x14ac:dyDescent="0.25">
      <c r="A7" s="400" t="s">
        <v>467</v>
      </c>
      <c r="B7" s="905" t="s">
        <v>747</v>
      </c>
      <c r="C7" s="906"/>
      <c r="D7" s="906"/>
      <c r="E7" s="409" t="s">
        <v>68</v>
      </c>
      <c r="F7" s="401"/>
      <c r="G7" s="407" t="s">
        <v>359</v>
      </c>
      <c r="H7" s="909" t="str">
        <f>CONCATENATE(Index!$D$14,"  ",Index!$D$16)</f>
        <v xml:space="preserve">  </v>
      </c>
      <c r="I7" s="909"/>
      <c r="J7" s="909"/>
      <c r="K7" s="427"/>
    </row>
    <row r="8" spans="1:12" ht="13.2" x14ac:dyDescent="0.25">
      <c r="A8" s="400" t="s">
        <v>467</v>
      </c>
      <c r="B8" s="408"/>
      <c r="C8" s="408"/>
      <c r="D8" s="406"/>
      <c r="E8" s="401"/>
      <c r="F8" s="401"/>
      <c r="G8" s="407" t="s">
        <v>196</v>
      </c>
      <c r="H8" s="909">
        <f>+Index!$D$15</f>
        <v>0</v>
      </c>
      <c r="I8" s="909"/>
      <c r="J8" s="909"/>
      <c r="K8" s="427"/>
    </row>
    <row r="9" spans="1:12" ht="9.9" customHeight="1" thickBot="1" x14ac:dyDescent="0.3">
      <c r="A9" s="400" t="s">
        <v>467</v>
      </c>
      <c r="B9" s="410"/>
      <c r="C9" s="410"/>
      <c r="D9" s="410"/>
      <c r="E9" s="410"/>
      <c r="F9" s="410"/>
      <c r="G9" s="410"/>
      <c r="H9" s="410"/>
      <c r="I9" s="410"/>
      <c r="J9" s="410"/>
    </row>
    <row r="10" spans="1:12" ht="9" customHeight="1" x14ac:dyDescent="0.25">
      <c r="A10" s="400" t="s">
        <v>467</v>
      </c>
      <c r="B10" s="411"/>
      <c r="C10" s="411"/>
      <c r="D10" s="411"/>
      <c r="E10" s="411"/>
      <c r="F10" s="411"/>
      <c r="G10" s="411"/>
      <c r="H10" s="411"/>
      <c r="I10" s="411"/>
      <c r="J10" s="411"/>
    </row>
    <row r="11" spans="1:12" ht="15.75" customHeight="1" x14ac:dyDescent="0.25">
      <c r="B11" s="412" t="s">
        <v>748</v>
      </c>
      <c r="C11" s="412"/>
      <c r="D11" s="412"/>
      <c r="E11" s="412"/>
      <c r="F11" s="412"/>
      <c r="G11" s="412"/>
      <c r="H11" s="412"/>
      <c r="I11" s="412"/>
      <c r="J11" s="412"/>
      <c r="K11" s="413"/>
      <c r="L11" s="414"/>
    </row>
    <row r="12" spans="1:12" ht="12.75" customHeight="1" x14ac:dyDescent="0.25">
      <c r="B12" s="412" t="s">
        <v>749</v>
      </c>
      <c r="C12" s="412"/>
      <c r="D12" s="412"/>
      <c r="E12" s="412"/>
      <c r="F12" s="412"/>
      <c r="G12" s="412"/>
      <c r="H12" s="412"/>
      <c r="I12" s="412"/>
      <c r="J12" s="412"/>
      <c r="K12" s="413"/>
      <c r="L12" s="414"/>
    </row>
    <row r="13" spans="1:12" ht="12.75" customHeight="1" x14ac:dyDescent="0.25">
      <c r="B13" s="412"/>
      <c r="C13" s="412"/>
      <c r="D13" s="412"/>
      <c r="E13" s="412"/>
      <c r="F13" s="412"/>
      <c r="G13" s="412"/>
      <c r="H13" s="412"/>
      <c r="I13" s="412"/>
      <c r="J13" s="412"/>
      <c r="K13" s="413"/>
      <c r="L13" s="414"/>
    </row>
    <row r="14" spans="1:12" s="415" customFormat="1" ht="12.75" customHeight="1" x14ac:dyDescent="0.3">
      <c r="B14" s="412" t="s">
        <v>750</v>
      </c>
      <c r="C14" s="416"/>
      <c r="D14" s="404"/>
      <c r="E14" s="404"/>
      <c r="F14" s="404"/>
      <c r="G14" s="404"/>
      <c r="H14" s="404"/>
      <c r="I14" s="404"/>
      <c r="J14" s="404"/>
      <c r="K14" s="400"/>
    </row>
    <row r="15" spans="1:12" s="415" customFormat="1" ht="12.75" customHeight="1" x14ac:dyDescent="0.3">
      <c r="B15" s="412" t="s">
        <v>751</v>
      </c>
      <c r="C15" s="416"/>
      <c r="D15" s="404"/>
      <c r="E15" s="404"/>
      <c r="F15" s="404"/>
      <c r="G15" s="404"/>
      <c r="H15" s="404"/>
      <c r="I15" s="404"/>
      <c r="J15" s="404"/>
      <c r="K15" s="400"/>
    </row>
    <row r="16" spans="1:12" s="415" customFormat="1" ht="8.1" customHeight="1" x14ac:dyDescent="0.3">
      <c r="B16" s="412"/>
      <c r="C16" s="416"/>
      <c r="D16" s="404"/>
      <c r="E16" s="404"/>
      <c r="F16" s="404"/>
      <c r="G16" s="404"/>
      <c r="H16" s="404"/>
      <c r="I16" s="404"/>
      <c r="J16" s="404"/>
      <c r="K16" s="400"/>
    </row>
    <row r="17" spans="2:13" s="415" customFormat="1" ht="12.75" customHeight="1" x14ac:dyDescent="0.3">
      <c r="B17" s="404"/>
      <c r="C17" s="412" t="s">
        <v>752</v>
      </c>
      <c r="D17" s="907" t="s">
        <v>753</v>
      </c>
      <c r="E17" s="906"/>
      <c r="F17" s="906"/>
      <c r="G17" s="906"/>
      <c r="H17" s="906"/>
      <c r="I17" s="906"/>
      <c r="J17" s="906"/>
      <c r="K17" s="400"/>
    </row>
    <row r="18" spans="2:13" s="415" customFormat="1" ht="12.75" customHeight="1" x14ac:dyDescent="0.3">
      <c r="B18" s="404"/>
      <c r="C18" s="412"/>
      <c r="D18" s="907" t="s">
        <v>754</v>
      </c>
      <c r="E18" s="906"/>
      <c r="F18" s="906"/>
      <c r="G18" s="906"/>
      <c r="H18" s="906"/>
      <c r="I18" s="906"/>
      <c r="J18" s="906"/>
      <c r="K18" s="400"/>
    </row>
    <row r="19" spans="2:13" s="415" customFormat="1" ht="12.75" customHeight="1" x14ac:dyDescent="0.3">
      <c r="B19" s="404"/>
      <c r="C19" s="412"/>
      <c r="D19" s="907" t="s">
        <v>755</v>
      </c>
      <c r="E19" s="906"/>
      <c r="F19" s="906"/>
      <c r="G19" s="906"/>
      <c r="H19" s="906"/>
      <c r="I19" s="906"/>
      <c r="J19" s="906"/>
      <c r="K19" s="400"/>
    </row>
    <row r="20" spans="2:13" s="415" customFormat="1" ht="12.75" customHeight="1" x14ac:dyDescent="0.3">
      <c r="B20" s="404"/>
      <c r="C20" s="412"/>
      <c r="D20" s="907" t="s">
        <v>756</v>
      </c>
      <c r="E20" s="906"/>
      <c r="F20" s="906"/>
      <c r="G20" s="906"/>
      <c r="H20" s="906"/>
      <c r="I20" s="906"/>
      <c r="J20" s="906"/>
      <c r="K20" s="400"/>
    </row>
    <row r="21" spans="2:13" s="415" customFormat="1" ht="12.75" customHeight="1" x14ac:dyDescent="0.3">
      <c r="B21" s="404"/>
      <c r="C21" s="412"/>
      <c r="D21" s="418" t="s">
        <v>757</v>
      </c>
      <c r="E21" s="5"/>
      <c r="F21" s="5"/>
      <c r="G21" s="5"/>
      <c r="H21" s="5"/>
      <c r="I21" s="5"/>
      <c r="J21" s="5"/>
      <c r="K21" s="400"/>
    </row>
    <row r="22" spans="2:13" s="415" customFormat="1" ht="12.75" customHeight="1" x14ac:dyDescent="0.3">
      <c r="B22" s="404"/>
      <c r="C22" s="412"/>
      <c r="D22" s="418" t="s">
        <v>758</v>
      </c>
      <c r="E22" s="5"/>
      <c r="F22" s="5"/>
      <c r="G22" s="5"/>
      <c r="H22" s="5"/>
      <c r="I22" s="5"/>
      <c r="J22" s="5"/>
      <c r="K22" s="400"/>
    </row>
    <row r="23" spans="2:13" s="415" customFormat="1" ht="12.75" customHeight="1" x14ac:dyDescent="0.3">
      <c r="B23" s="404"/>
      <c r="C23" s="412"/>
      <c r="D23" s="418" t="s">
        <v>759</v>
      </c>
      <c r="E23" s="5"/>
      <c r="F23" s="5"/>
      <c r="G23" s="5"/>
      <c r="H23" s="5"/>
      <c r="I23" s="5"/>
      <c r="J23" s="5"/>
      <c r="K23" s="400"/>
    </row>
    <row r="24" spans="2:13" s="415" customFormat="1" ht="3.9" customHeight="1" x14ac:dyDescent="0.3">
      <c r="B24" s="404"/>
      <c r="C24" s="412"/>
      <c r="D24" s="418"/>
      <c r="E24" s="5"/>
      <c r="F24" s="5"/>
      <c r="G24" s="5"/>
      <c r="H24" s="5"/>
      <c r="I24" s="5"/>
      <c r="J24" s="5"/>
      <c r="K24" s="400"/>
    </row>
    <row r="25" spans="2:13" s="415" customFormat="1" ht="12.75" customHeight="1" x14ac:dyDescent="0.3">
      <c r="B25" s="404"/>
      <c r="C25" s="412" t="s">
        <v>760</v>
      </c>
      <c r="D25" s="907" t="s">
        <v>761</v>
      </c>
      <c r="E25" s="906"/>
      <c r="F25" s="906"/>
      <c r="G25" s="906"/>
      <c r="H25" s="906"/>
      <c r="I25" s="906"/>
      <c r="J25" s="906"/>
      <c r="K25" s="400"/>
    </row>
    <row r="26" spans="2:13" s="415" customFormat="1" ht="3.9" customHeight="1" x14ac:dyDescent="0.3">
      <c r="B26" s="404"/>
      <c r="C26" s="412"/>
      <c r="D26" s="417"/>
      <c r="E26" s="5"/>
      <c r="F26" s="5"/>
      <c r="G26" s="5"/>
      <c r="H26" s="5"/>
      <c r="I26" s="5"/>
      <c r="J26" s="5"/>
      <c r="K26" s="400"/>
    </row>
    <row r="27" spans="2:13" s="415" customFormat="1" ht="12.75" customHeight="1" x14ac:dyDescent="0.3">
      <c r="B27" s="404"/>
      <c r="C27" s="412" t="s">
        <v>762</v>
      </c>
      <c r="D27" s="907" t="s">
        <v>763</v>
      </c>
      <c r="E27" s="906"/>
      <c r="F27" s="906"/>
      <c r="G27" s="906"/>
      <c r="H27" s="906"/>
      <c r="I27" s="906"/>
      <c r="J27" s="906"/>
      <c r="K27" s="400"/>
    </row>
    <row r="28" spans="2:13" s="415" customFormat="1" ht="12.75" customHeight="1" x14ac:dyDescent="0.3">
      <c r="B28" s="404"/>
      <c r="C28" s="412"/>
      <c r="D28" s="907" t="s">
        <v>764</v>
      </c>
      <c r="E28" s="906"/>
      <c r="F28" s="906"/>
      <c r="G28" s="906"/>
      <c r="H28" s="906"/>
      <c r="I28" s="906"/>
      <c r="J28" s="906"/>
      <c r="K28" s="400"/>
    </row>
    <row r="29" spans="2:13" s="415" customFormat="1" ht="12.75" customHeight="1" x14ac:dyDescent="0.3">
      <c r="B29" s="404"/>
      <c r="C29" s="412"/>
      <c r="D29" s="907" t="s">
        <v>765</v>
      </c>
      <c r="E29" s="906"/>
      <c r="F29" s="906"/>
      <c r="G29" s="906"/>
      <c r="H29" s="906"/>
      <c r="I29" s="906"/>
      <c r="J29" s="906"/>
      <c r="K29" s="400"/>
    </row>
    <row r="30" spans="2:13" s="415" customFormat="1" ht="3.9" customHeight="1" x14ac:dyDescent="0.3">
      <c r="B30" s="404"/>
      <c r="C30" s="412"/>
      <c r="D30" s="417"/>
      <c r="E30" s="5"/>
      <c r="F30" s="5"/>
      <c r="G30" s="5"/>
      <c r="H30" s="5"/>
      <c r="I30" s="5"/>
      <c r="J30" s="5"/>
      <c r="K30" s="400"/>
    </row>
    <row r="31" spans="2:13" s="415" customFormat="1" ht="12.75" customHeight="1" x14ac:dyDescent="0.3">
      <c r="B31" s="404"/>
      <c r="C31" s="412" t="s">
        <v>766</v>
      </c>
      <c r="D31" s="907" t="s">
        <v>767</v>
      </c>
      <c r="E31" s="906"/>
      <c r="F31" s="906"/>
      <c r="G31" s="906"/>
      <c r="H31" s="906"/>
      <c r="I31" s="906"/>
      <c r="J31" s="906"/>
      <c r="K31" s="400"/>
      <c r="L31" s="419"/>
      <c r="M31" s="420"/>
    </row>
    <row r="32" spans="2:13" s="415" customFormat="1" ht="12.75" customHeight="1" x14ac:dyDescent="0.3">
      <c r="B32" s="412"/>
      <c r="C32" s="404"/>
      <c r="D32" s="907" t="s">
        <v>768</v>
      </c>
      <c r="E32" s="906"/>
      <c r="F32" s="906"/>
      <c r="G32" s="906"/>
      <c r="H32" s="906"/>
      <c r="I32" s="906"/>
      <c r="J32" s="906"/>
      <c r="K32" s="404"/>
      <c r="L32" s="419"/>
      <c r="M32" s="420"/>
    </row>
    <row r="33" spans="2:12" s="415" customFormat="1" ht="15.75" customHeight="1" x14ac:dyDescent="0.3">
      <c r="B33" s="416"/>
      <c r="C33" s="416"/>
      <c r="D33" s="404"/>
      <c r="E33" s="404"/>
      <c r="F33" s="404"/>
      <c r="G33" s="404"/>
      <c r="H33" s="404"/>
      <c r="I33" s="404"/>
      <c r="J33" s="404"/>
      <c r="K33" s="400"/>
    </row>
    <row r="34" spans="2:12" s="415" customFormat="1" ht="12.75" customHeight="1" x14ac:dyDescent="0.3">
      <c r="B34" s="412" t="s">
        <v>769</v>
      </c>
      <c r="C34" s="416"/>
      <c r="D34" s="404"/>
      <c r="E34" s="404"/>
      <c r="F34" s="404"/>
      <c r="G34" s="404"/>
      <c r="H34" s="404"/>
      <c r="I34" s="404"/>
      <c r="J34" s="404"/>
      <c r="K34" s="400"/>
    </row>
    <row r="35" spans="2:12" s="415" customFormat="1" ht="12.75" customHeight="1" x14ac:dyDescent="0.3">
      <c r="B35" s="412" t="s">
        <v>770</v>
      </c>
      <c r="C35" s="416"/>
      <c r="D35" s="404"/>
      <c r="E35" s="404"/>
      <c r="F35" s="404"/>
      <c r="G35" s="404"/>
      <c r="H35" s="404"/>
      <c r="I35" s="404"/>
      <c r="J35" s="404"/>
      <c r="K35" s="400"/>
    </row>
    <row r="36" spans="2:12" s="415" customFormat="1" ht="12.75" customHeight="1" x14ac:dyDescent="0.3">
      <c r="B36" s="416"/>
      <c r="C36" s="416"/>
      <c r="D36" s="404"/>
      <c r="E36" s="404"/>
      <c r="F36" s="404"/>
      <c r="G36" s="404"/>
      <c r="H36" s="404"/>
      <c r="I36" s="404"/>
      <c r="J36" s="404"/>
      <c r="K36" s="400"/>
    </row>
    <row r="37" spans="2:12" s="415" customFormat="1" ht="12.75" customHeight="1" x14ac:dyDescent="0.3">
      <c r="B37" s="416"/>
      <c r="C37" s="416"/>
      <c r="D37" s="421" t="s">
        <v>771</v>
      </c>
      <c r="E37" s="570"/>
      <c r="F37" s="442" t="str">
        <f>IF(AND(ISBLANK(E37),ISBLANK(E38))=TRUE,"Answer Missing"," ")</f>
        <v>Answer Missing</v>
      </c>
      <c r="G37" s="404"/>
      <c r="H37" s="404"/>
      <c r="I37" s="404"/>
      <c r="J37" s="404"/>
      <c r="K37" s="400"/>
    </row>
    <row r="38" spans="2:12" s="415" customFormat="1" ht="12.75" customHeight="1" x14ac:dyDescent="0.3">
      <c r="B38" s="416"/>
      <c r="C38" s="416"/>
      <c r="D38" s="421" t="s">
        <v>772</v>
      </c>
      <c r="E38" s="570"/>
      <c r="F38" s="404"/>
      <c r="G38" s="404"/>
      <c r="H38" s="404"/>
      <c r="I38" s="404"/>
      <c r="J38" s="404"/>
      <c r="K38" s="400"/>
    </row>
    <row r="39" spans="2:12" s="415" customFormat="1" ht="12.75" customHeight="1" x14ac:dyDescent="0.3">
      <c r="B39" s="416"/>
      <c r="C39" s="416"/>
      <c r="D39" s="404"/>
      <c r="E39" s="404"/>
      <c r="F39" s="404"/>
      <c r="G39" s="404"/>
      <c r="H39" s="404"/>
      <c r="I39" s="404"/>
      <c r="J39" s="404"/>
      <c r="K39" s="400"/>
    </row>
    <row r="40" spans="2:12" s="415" customFormat="1" ht="12.75" customHeight="1" x14ac:dyDescent="0.3">
      <c r="B40" s="404"/>
      <c r="C40" s="404"/>
      <c r="D40" s="404"/>
      <c r="E40" s="404"/>
      <c r="F40" s="404"/>
      <c r="G40" s="404"/>
      <c r="H40" s="404"/>
      <c r="I40" s="404"/>
      <c r="J40" s="404"/>
      <c r="K40" s="400"/>
    </row>
    <row r="41" spans="2:12" s="415" customFormat="1" ht="12.75" customHeight="1" x14ac:dyDescent="0.3">
      <c r="B41" s="423" t="s">
        <v>773</v>
      </c>
      <c r="C41" s="416"/>
      <c r="D41" s="404"/>
      <c r="E41" s="404"/>
      <c r="F41" s="404"/>
      <c r="G41" s="404"/>
      <c r="H41" s="404"/>
      <c r="I41" s="404"/>
      <c r="J41" s="404"/>
      <c r="K41" s="400"/>
    </row>
    <row r="42" spans="2:12" ht="12.75" customHeight="1" x14ac:dyDescent="0.25">
      <c r="B42" s="412" t="s">
        <v>774</v>
      </c>
      <c r="C42" s="150"/>
      <c r="D42" s="150"/>
      <c r="E42" s="150"/>
      <c r="F42" s="150"/>
      <c r="G42" s="150"/>
      <c r="H42" s="150"/>
      <c r="I42" s="150"/>
      <c r="J42" s="404"/>
    </row>
    <row r="43" spans="2:12" ht="12.75" customHeight="1" x14ac:dyDescent="0.25">
      <c r="B43" s="736" t="s">
        <v>1433</v>
      </c>
      <c r="C43" s="150"/>
      <c r="D43" s="150"/>
      <c r="E43" s="150"/>
      <c r="F43" s="150"/>
      <c r="G43" s="738"/>
      <c r="H43" s="738"/>
      <c r="I43" s="150"/>
      <c r="J43" s="404"/>
    </row>
    <row r="44" spans="2:12" ht="12" customHeight="1" x14ac:dyDescent="0.25">
      <c r="B44" s="416"/>
      <c r="C44" s="416"/>
      <c r="D44" s="404"/>
      <c r="E44" s="404"/>
      <c r="F44" s="404"/>
      <c r="G44" s="404"/>
      <c r="H44" s="404"/>
      <c r="I44" s="404"/>
      <c r="J44" s="404"/>
    </row>
    <row r="45" spans="2:12" ht="5.0999999999999996" customHeight="1" x14ac:dyDescent="0.25">
      <c r="B45" s="416"/>
      <c r="C45" s="416"/>
      <c r="D45" s="404"/>
      <c r="E45" s="404"/>
      <c r="F45" s="404"/>
      <c r="G45" s="404"/>
      <c r="H45" s="404"/>
      <c r="I45" s="404"/>
      <c r="J45" s="404"/>
    </row>
    <row r="46" spans="2:12" ht="15.75" customHeight="1" x14ac:dyDescent="0.25">
      <c r="B46" s="404"/>
      <c r="C46" s="404"/>
      <c r="D46" s="404"/>
      <c r="E46" s="404"/>
      <c r="F46" s="404"/>
      <c r="G46" s="404"/>
      <c r="H46" s="404"/>
      <c r="I46" s="404"/>
      <c r="J46" s="404"/>
    </row>
    <row r="47" spans="2:12" ht="15.75" customHeight="1" x14ac:dyDescent="0.25">
      <c r="B47" s="404"/>
      <c r="C47" s="404"/>
      <c r="D47" s="404"/>
      <c r="E47" s="404"/>
      <c r="F47" s="404"/>
      <c r="G47" s="404"/>
      <c r="H47" s="404"/>
      <c r="I47" s="404"/>
      <c r="J47" s="150"/>
      <c r="K47" s="150"/>
      <c r="L47" s="424"/>
    </row>
    <row r="48" spans="2:12" ht="15.75" customHeight="1" x14ac:dyDescent="0.25">
      <c r="B48" s="404"/>
      <c r="C48" s="404"/>
      <c r="D48" s="404"/>
      <c r="E48" s="404"/>
      <c r="F48" s="404"/>
      <c r="G48" s="404"/>
      <c r="H48" s="404"/>
      <c r="I48" s="404"/>
      <c r="J48" s="150"/>
      <c r="K48" s="150"/>
      <c r="L48" s="150"/>
    </row>
    <row r="49" spans="2:10" ht="15.75" customHeight="1" x14ac:dyDescent="0.25">
      <c r="B49" s="416"/>
      <c r="C49" s="416"/>
      <c r="D49" s="404"/>
      <c r="E49" s="404"/>
      <c r="F49" s="404"/>
      <c r="G49" s="404"/>
      <c r="H49" s="404"/>
      <c r="I49" s="404"/>
      <c r="J49" s="404"/>
    </row>
    <row r="50" spans="2:10" ht="12" customHeight="1" x14ac:dyDescent="0.25">
      <c r="B50" s="416"/>
      <c r="C50" s="416"/>
      <c r="D50" s="404"/>
      <c r="E50" s="404"/>
      <c r="F50" s="404"/>
      <c r="G50" s="404"/>
      <c r="H50" s="404"/>
      <c r="I50" s="404"/>
      <c r="J50" s="404"/>
    </row>
    <row r="51" spans="2:10" ht="12" customHeight="1" x14ac:dyDescent="0.25">
      <c r="B51" s="416"/>
      <c r="C51" s="416"/>
      <c r="D51" s="404"/>
      <c r="E51" s="404"/>
      <c r="F51" s="404"/>
      <c r="G51" s="404"/>
      <c r="H51" s="404"/>
      <c r="I51" s="404"/>
      <c r="J51" s="404"/>
    </row>
    <row r="52" spans="2:10" ht="12" customHeight="1" x14ac:dyDescent="0.25">
      <c r="B52" s="416"/>
      <c r="C52" s="416"/>
      <c r="D52" s="404"/>
      <c r="E52" s="404"/>
      <c r="F52" s="404"/>
      <c r="G52" s="404"/>
      <c r="H52" s="404"/>
      <c r="I52" s="404"/>
      <c r="J52" s="404"/>
    </row>
    <row r="53" spans="2:10" ht="12" customHeight="1" x14ac:dyDescent="0.25">
      <c r="B53" s="416"/>
      <c r="C53" s="416"/>
      <c r="D53" s="404"/>
      <c r="E53" s="404"/>
      <c r="F53" s="404"/>
      <c r="G53" s="404"/>
      <c r="H53" s="404"/>
      <c r="I53" s="404"/>
      <c r="J53" s="404"/>
    </row>
    <row r="54" spans="2:10" ht="5.0999999999999996" customHeight="1" x14ac:dyDescent="0.25">
      <c r="B54" s="416"/>
      <c r="C54" s="416"/>
      <c r="D54" s="404"/>
      <c r="E54" s="404"/>
      <c r="F54" s="404"/>
      <c r="G54" s="404"/>
      <c r="H54" s="404"/>
      <c r="I54" s="404"/>
      <c r="J54" s="404"/>
    </row>
    <row r="55" spans="2:10" ht="12" customHeight="1" x14ac:dyDescent="0.25">
      <c r="B55" s="416"/>
      <c r="C55" s="416"/>
      <c r="D55" s="404"/>
      <c r="E55" s="404"/>
      <c r="F55" s="404"/>
      <c r="G55" s="404"/>
      <c r="H55" s="404"/>
      <c r="I55" s="404"/>
      <c r="J55" s="404"/>
    </row>
    <row r="56" spans="2:10" ht="12" customHeight="1" x14ac:dyDescent="0.25">
      <c r="B56" s="416"/>
      <c r="C56" s="416"/>
      <c r="D56" s="404"/>
      <c r="E56" s="404"/>
      <c r="F56" s="404"/>
      <c r="G56" s="404"/>
      <c r="H56" s="404"/>
      <c r="I56" s="404"/>
      <c r="J56" s="404"/>
    </row>
    <row r="57" spans="2:10" ht="12" customHeight="1" x14ac:dyDescent="0.25">
      <c r="B57" s="416"/>
      <c r="C57" s="416"/>
      <c r="D57" s="404"/>
      <c r="E57" s="404"/>
      <c r="F57" s="404"/>
      <c r="G57" s="404"/>
      <c r="H57" s="404"/>
      <c r="I57" s="404"/>
      <c r="J57" s="404"/>
    </row>
    <row r="58" spans="2:10" ht="12" customHeight="1" x14ac:dyDescent="0.25">
      <c r="B58" s="416"/>
      <c r="C58" s="416"/>
      <c r="D58" s="404"/>
      <c r="E58" s="404"/>
      <c r="F58" s="404"/>
      <c r="G58" s="404"/>
      <c r="H58" s="404"/>
      <c r="I58" s="404"/>
      <c r="J58" s="404"/>
    </row>
    <row r="59" spans="2:10" ht="12" customHeight="1" x14ac:dyDescent="0.25">
      <c r="B59" s="425"/>
      <c r="C59" s="425"/>
      <c r="D59" s="426"/>
      <c r="E59" s="426"/>
      <c r="F59" s="426"/>
      <c r="G59" s="426"/>
      <c r="H59" s="426"/>
      <c r="I59" s="426"/>
      <c r="J59" s="426"/>
    </row>
    <row r="60" spans="2:10" ht="12" customHeight="1" x14ac:dyDescent="0.25">
      <c r="B60" s="425"/>
      <c r="C60" s="425"/>
      <c r="D60" s="426"/>
      <c r="E60" s="426"/>
      <c r="F60" s="426"/>
      <c r="G60" s="426"/>
      <c r="H60" s="426"/>
      <c r="I60" s="426"/>
      <c r="J60" s="426"/>
    </row>
    <row r="61" spans="2:10" ht="5.0999999999999996" customHeight="1" x14ac:dyDescent="0.25">
      <c r="B61" s="425"/>
      <c r="C61" s="425"/>
      <c r="D61" s="426"/>
      <c r="E61" s="426"/>
      <c r="F61" s="426"/>
      <c r="G61" s="426"/>
      <c r="H61" s="426"/>
      <c r="I61" s="426"/>
      <c r="J61" s="426"/>
    </row>
    <row r="65" spans="1:12" ht="14.1" customHeight="1" x14ac:dyDescent="0.25">
      <c r="B65" s="425"/>
      <c r="C65" s="150"/>
      <c r="D65" s="150"/>
      <c r="E65" s="150"/>
      <c r="F65" s="150"/>
      <c r="G65" s="150"/>
      <c r="H65" s="150"/>
      <c r="I65" s="150"/>
      <c r="J65" s="150"/>
      <c r="K65" s="150"/>
      <c r="L65" s="150"/>
    </row>
    <row r="66" spans="1:12" ht="5.0999999999999996" customHeight="1" x14ac:dyDescent="0.25">
      <c r="B66" s="425"/>
      <c r="C66" s="425"/>
      <c r="D66" s="426"/>
      <c r="E66" s="426"/>
      <c r="F66" s="426"/>
      <c r="G66" s="426"/>
      <c r="H66" s="426"/>
      <c r="I66" s="426"/>
      <c r="J66" s="426"/>
    </row>
    <row r="67" spans="1:12" ht="12" customHeight="1" x14ac:dyDescent="0.25">
      <c r="B67" s="425"/>
      <c r="C67" s="425"/>
      <c r="D67" s="426"/>
      <c r="E67" s="426"/>
      <c r="F67" s="426"/>
      <c r="G67" s="426"/>
      <c r="H67" s="426"/>
      <c r="I67" s="426"/>
      <c r="J67" s="426"/>
    </row>
    <row r="68" spans="1:12" x14ac:dyDescent="0.25">
      <c r="B68" s="425"/>
      <c r="C68" s="425"/>
      <c r="D68" s="426"/>
      <c r="E68" s="426"/>
      <c r="F68" s="426"/>
      <c r="G68" s="426"/>
      <c r="H68" s="426"/>
      <c r="I68" s="426"/>
      <c r="J68" s="426"/>
    </row>
    <row r="69" spans="1:12" x14ac:dyDescent="0.25">
      <c r="B69" s="425"/>
      <c r="C69" s="425"/>
      <c r="D69" s="426"/>
      <c r="E69" s="426"/>
      <c r="F69" s="426"/>
      <c r="G69" s="426"/>
      <c r="H69" s="426"/>
      <c r="I69" s="426"/>
      <c r="J69" s="426"/>
    </row>
    <row r="70" spans="1:12" ht="16.5" customHeight="1" x14ac:dyDescent="0.25">
      <c r="B70" s="425"/>
      <c r="C70" s="425"/>
      <c r="D70" s="426"/>
      <c r="E70" s="426"/>
      <c r="F70" s="426"/>
      <c r="G70" s="426"/>
      <c r="H70" s="426"/>
      <c r="I70" s="426"/>
      <c r="J70" s="426"/>
    </row>
    <row r="71" spans="1:12" ht="5.0999999999999996" customHeight="1" x14ac:dyDescent="0.25">
      <c r="B71" s="425"/>
      <c r="C71" s="425"/>
      <c r="D71" s="426"/>
      <c r="E71" s="426"/>
      <c r="F71" s="426"/>
      <c r="G71" s="426"/>
      <c r="H71" s="426"/>
      <c r="I71" s="426"/>
      <c r="J71" s="426"/>
    </row>
    <row r="72" spans="1:12" x14ac:dyDescent="0.25">
      <c r="B72" s="425"/>
      <c r="C72" s="425"/>
      <c r="D72" s="426"/>
      <c r="E72" s="426"/>
      <c r="F72" s="426"/>
      <c r="G72" s="426"/>
      <c r="H72" s="426"/>
      <c r="I72" s="426"/>
      <c r="J72" s="426"/>
    </row>
    <row r="73" spans="1:12" x14ac:dyDescent="0.25">
      <c r="B73" s="425"/>
      <c r="C73" s="425"/>
      <c r="D73" s="426"/>
      <c r="E73" s="426"/>
      <c r="F73" s="426"/>
      <c r="G73" s="426"/>
      <c r="H73" s="426"/>
      <c r="I73" s="426"/>
      <c r="J73" s="426"/>
    </row>
    <row r="74" spans="1:12" x14ac:dyDescent="0.25">
      <c r="B74" s="425"/>
      <c r="C74" s="425"/>
      <c r="D74" s="426"/>
      <c r="E74" s="426"/>
      <c r="F74" s="426"/>
      <c r="G74" s="426"/>
      <c r="H74" s="426"/>
      <c r="I74" s="426"/>
      <c r="J74" s="426"/>
    </row>
    <row r="75" spans="1:12" ht="16.5" customHeight="1" x14ac:dyDescent="0.25">
      <c r="B75" s="425"/>
      <c r="C75" s="425"/>
      <c r="D75" s="426"/>
      <c r="E75" s="426"/>
      <c r="F75" s="426"/>
      <c r="G75" s="426"/>
      <c r="H75" s="426"/>
      <c r="I75" s="426"/>
      <c r="J75" s="426"/>
    </row>
    <row r="76" spans="1:12" ht="11.1" customHeight="1" x14ac:dyDescent="0.25">
      <c r="B76" s="425"/>
      <c r="C76" s="425"/>
      <c r="D76" s="426"/>
      <c r="E76" s="426"/>
      <c r="F76" s="426"/>
      <c r="G76" s="426"/>
      <c r="H76" s="426"/>
      <c r="I76" s="426"/>
      <c r="J76" s="426"/>
    </row>
    <row r="77" spans="1:12" x14ac:dyDescent="0.25">
      <c r="A77" s="400" t="s">
        <v>467</v>
      </c>
      <c r="B77" s="425"/>
      <c r="C77" s="425"/>
      <c r="D77" s="426"/>
      <c r="E77" s="426"/>
      <c r="F77" s="426"/>
      <c r="G77" s="426"/>
      <c r="H77" s="426"/>
      <c r="I77" s="426"/>
      <c r="J77" s="426"/>
    </row>
    <row r="78" spans="1:12" ht="15" x14ac:dyDescent="0.25">
      <c r="A78" s="383" t="str">
        <f ca="1">MID(CELL("filename",A1),FIND("]",CELL("filename",A1))+1,256)</f>
        <v>110</v>
      </c>
      <c r="B78" s="425" t="s">
        <v>776</v>
      </c>
      <c r="C78" s="425"/>
      <c r="D78" s="426"/>
      <c r="E78" s="426"/>
      <c r="F78" s="426"/>
      <c r="G78" s="426"/>
      <c r="H78" s="426"/>
      <c r="I78" s="426"/>
      <c r="J78" s="426"/>
    </row>
    <row r="79" spans="1:12" ht="15" x14ac:dyDescent="0.25">
      <c r="A79" s="383" t="s">
        <v>9</v>
      </c>
      <c r="B79" s="425" t="s">
        <v>776</v>
      </c>
      <c r="C79" s="425"/>
      <c r="D79" s="426"/>
      <c r="E79" s="426"/>
      <c r="F79" s="426"/>
      <c r="G79" s="426"/>
      <c r="H79" s="426"/>
      <c r="I79" s="426"/>
      <c r="J79" s="426"/>
    </row>
    <row r="80" spans="1:12" ht="15" x14ac:dyDescent="0.25">
      <c r="A80" s="383" t="s">
        <v>10</v>
      </c>
      <c r="B80" s="425" t="s">
        <v>776</v>
      </c>
      <c r="C80" s="425"/>
      <c r="D80" s="426"/>
      <c r="E80" s="426"/>
      <c r="F80" s="426"/>
      <c r="G80" s="426"/>
      <c r="H80" s="426"/>
      <c r="I80" s="426"/>
      <c r="J80" s="426"/>
    </row>
    <row r="81" spans="1:10" ht="15" x14ac:dyDescent="0.25">
      <c r="A81" s="383" t="s">
        <v>11</v>
      </c>
      <c r="B81" s="383" t="s">
        <v>776</v>
      </c>
      <c r="C81" s="425"/>
      <c r="D81" s="426"/>
      <c r="E81" s="426"/>
      <c r="F81" s="426"/>
      <c r="G81" s="426"/>
      <c r="H81" s="426"/>
      <c r="I81" s="426"/>
      <c r="J81" s="426"/>
    </row>
    <row r="82" spans="1:10" ht="15" x14ac:dyDescent="0.25">
      <c r="A82" s="383" t="s">
        <v>12</v>
      </c>
      <c r="B82" s="383" t="s">
        <v>776</v>
      </c>
      <c r="C82" s="383"/>
    </row>
    <row r="83" spans="1:10" ht="15" x14ac:dyDescent="0.25">
      <c r="A83" s="383" t="s">
        <v>13</v>
      </c>
      <c r="B83" s="383" t="s">
        <v>776</v>
      </c>
      <c r="C83" s="383"/>
    </row>
    <row r="84" spans="1:10" ht="15" x14ac:dyDescent="0.25">
      <c r="A84" s="383" t="s">
        <v>14</v>
      </c>
      <c r="B84" s="383" t="s">
        <v>776</v>
      </c>
      <c r="C84" s="383"/>
    </row>
    <row r="85" spans="1:10" ht="15" x14ac:dyDescent="0.25">
      <c r="A85" s="383" t="s">
        <v>15</v>
      </c>
      <c r="B85" s="383" t="s">
        <v>776</v>
      </c>
      <c r="C85" s="383"/>
    </row>
    <row r="86" spans="1:10" ht="15" x14ac:dyDescent="0.25">
      <c r="A86" s="383" t="s">
        <v>16</v>
      </c>
      <c r="B86" s="383" t="s">
        <v>776</v>
      </c>
      <c r="C86" s="383"/>
    </row>
    <row r="87" spans="1:10" ht="15" x14ac:dyDescent="0.25">
      <c r="A87" s="383" t="s">
        <v>17</v>
      </c>
      <c r="B87" s="383" t="s">
        <v>776</v>
      </c>
      <c r="C87" s="383"/>
    </row>
    <row r="88" spans="1:10" ht="15" x14ac:dyDescent="0.25">
      <c r="A88" s="383" t="s">
        <v>18</v>
      </c>
      <c r="C88" s="383"/>
    </row>
  </sheetData>
  <sheetProtection algorithmName="SHA-512" hashValue="YvKvLLq/pCdNfChY6GqUjQon74Oi0KASzgi507uOCwPGEdHaDBRDa3mL/WTgDgucmpjfk6wSPm3AD0K4pEvBrQ==" saltValue="Yp1eiatgCpNxuLBKbwCfoA==" spinCount="100000" sheet="1" objects="1" scenarios="1" autoFilter="0"/>
  <mergeCells count="19">
    <mergeCell ref="D29:J29"/>
    <mergeCell ref="D31:J31"/>
    <mergeCell ref="D32:J32"/>
    <mergeCell ref="H5:J5"/>
    <mergeCell ref="H6:J6"/>
    <mergeCell ref="H7:J7"/>
    <mergeCell ref="D18:J18"/>
    <mergeCell ref="D19:J19"/>
    <mergeCell ref="D20:J20"/>
    <mergeCell ref="D25:J25"/>
    <mergeCell ref="D27:J27"/>
    <mergeCell ref="D28:J28"/>
    <mergeCell ref="D17:J17"/>
    <mergeCell ref="H8:J8"/>
    <mergeCell ref="B1:J1"/>
    <mergeCell ref="K1:K3"/>
    <mergeCell ref="B2:J2"/>
    <mergeCell ref="B3:J3"/>
    <mergeCell ref="B7:D7"/>
  </mergeCells>
  <conditionalFormatting sqref="K1:K3">
    <cfRule type="cellIs" dxfId="38" priority="2" stopIfTrue="1" operator="equal">
      <formula>"na"</formula>
    </cfRule>
  </conditionalFormatting>
  <conditionalFormatting sqref="F37">
    <cfRule type="containsText" dxfId="37" priority="1" stopIfTrue="1" operator="containsText" text="Answer Missing">
      <formula>NOT(ISERROR(SEARCH("Answer Missing",F37)))</formula>
    </cfRule>
  </conditionalFormatting>
  <hyperlinks>
    <hyperlink ref="B1:J1" location="Index!A1" display="Index!A1" xr:uid="{00000000-0004-0000-0700-000000000000}"/>
  </hyperlinks>
  <pageMargins left="0.95" right="0.45" top="0.5" bottom="0.5" header="0.3" footer="0.3"/>
  <pageSetup scale="96" orientation="portrait"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67</vt:i4>
      </vt:variant>
    </vt:vector>
  </HeadingPairs>
  <TitlesOfParts>
    <vt:vector size="100" baseType="lpstr">
      <vt:lpstr>Index</vt:lpstr>
      <vt:lpstr>Dashboard</vt:lpstr>
      <vt:lpstr>Pkg Updates</vt:lpstr>
      <vt:lpstr>GASB_Stmts</vt:lpstr>
      <vt:lpstr>FASB_Stmts</vt:lpstr>
      <vt:lpstr>FASB_Adj</vt:lpstr>
      <vt:lpstr>ACFR_Stmts</vt:lpstr>
      <vt:lpstr>Variances</vt:lpstr>
      <vt:lpstr>110</vt:lpstr>
      <vt:lpstr>115</vt:lpstr>
      <vt:lpstr>120</vt:lpstr>
      <vt:lpstr>323</vt:lpstr>
      <vt:lpstr>338</vt:lpstr>
      <vt:lpstr>345</vt:lpstr>
      <vt:lpstr>355</vt:lpstr>
      <vt:lpstr>375</vt:lpstr>
      <vt:lpstr>420</vt:lpstr>
      <vt:lpstr>430</vt:lpstr>
      <vt:lpstr>515</vt:lpstr>
      <vt:lpstr>520</vt:lpstr>
      <vt:lpstr>525</vt:lpstr>
      <vt:lpstr>530</vt:lpstr>
      <vt:lpstr>535</vt:lpstr>
      <vt:lpstr>602</vt:lpstr>
      <vt:lpstr>610</vt:lpstr>
      <vt:lpstr>615</vt:lpstr>
      <vt:lpstr>625</vt:lpstr>
      <vt:lpstr>Explanations</vt:lpstr>
      <vt:lpstr>Comments </vt:lpstr>
      <vt:lpstr>Agencies</vt:lpstr>
      <vt:lpstr>All Agencies</vt:lpstr>
      <vt:lpstr>PriorYrBal</vt:lpstr>
      <vt:lpstr>Data</vt:lpstr>
      <vt:lpstr>_115_Data</vt:lpstr>
      <vt:lpstr>_115_Filter_Criteria</vt:lpstr>
      <vt:lpstr>_Agy515</vt:lpstr>
      <vt:lpstr>_Agy520</vt:lpstr>
      <vt:lpstr>_Agy525</vt:lpstr>
      <vt:lpstr>_Agy530</vt:lpstr>
      <vt:lpstr>_Agy535</vt:lpstr>
      <vt:lpstr>aFASB</vt:lpstr>
      <vt:lpstr>aFASBADJ</vt:lpstr>
      <vt:lpstr>aGASB</vt:lpstr>
      <vt:lpstr>AgyIdx</vt:lpstr>
      <vt:lpstr>Agencies!AgyNum</vt:lpstr>
      <vt:lpstr>bFASB</vt:lpstr>
      <vt:lpstr>bFASBADJ</vt:lpstr>
      <vt:lpstr>bGASB</vt:lpstr>
      <vt:lpstr>CAFRData</vt:lpstr>
      <vt:lpstr>compnumtxt</vt:lpstr>
      <vt:lpstr>FCCSent</vt:lpstr>
      <vt:lpstr>FCCSNum</vt:lpstr>
      <vt:lpstr>Gasb515</vt:lpstr>
      <vt:lpstr>Gasb520</vt:lpstr>
      <vt:lpstr>Gasb525</vt:lpstr>
      <vt:lpstr>Gasb530</vt:lpstr>
      <vt:lpstr>Gasb535</vt:lpstr>
      <vt:lpstr>IdxNa</vt:lpstr>
      <vt:lpstr>IdxSheetNum</vt:lpstr>
      <vt:lpstr>IdxTable</vt:lpstr>
      <vt:lpstr>Listfor515and520</vt:lpstr>
      <vt:lpstr>Listfor525and530</vt:lpstr>
      <vt:lpstr>Listfor535</vt:lpstr>
      <vt:lpstr>NMcompgasb</vt:lpstr>
      <vt:lpstr>NMcompname</vt:lpstr>
      <vt:lpstr>NMcompnum</vt:lpstr>
      <vt:lpstr>NMcompnumtxt</vt:lpstr>
      <vt:lpstr>NMCompRepMod</vt:lpstr>
      <vt:lpstr>NMcomptable</vt:lpstr>
      <vt:lpstr>NMConcNum</vt:lpstr>
      <vt:lpstr>NMEquity</vt:lpstr>
      <vt:lpstr>'110'!Print_Area</vt:lpstr>
      <vt:lpstr>'115'!Print_Area</vt:lpstr>
      <vt:lpstr>'120'!Print_Area</vt:lpstr>
      <vt:lpstr>'323'!Print_Area</vt:lpstr>
      <vt:lpstr>'375'!Print_Area</vt:lpstr>
      <vt:lpstr>'420'!Print_Area</vt:lpstr>
      <vt:lpstr>'430'!Print_Area</vt:lpstr>
      <vt:lpstr>'515'!Print_Area</vt:lpstr>
      <vt:lpstr>'520'!Print_Area</vt:lpstr>
      <vt:lpstr>'525'!Print_Area</vt:lpstr>
      <vt:lpstr>'530'!Print_Area</vt:lpstr>
      <vt:lpstr>'535'!Print_Area</vt:lpstr>
      <vt:lpstr>'602'!Print_Area</vt:lpstr>
      <vt:lpstr>'625'!Print_Area</vt:lpstr>
      <vt:lpstr>ACFR_Stmts!Print_Area</vt:lpstr>
      <vt:lpstr>Dashboard!Print_Area</vt:lpstr>
      <vt:lpstr>FASB_Adj!Print_Area</vt:lpstr>
      <vt:lpstr>FASB_Stmts!Print_Area</vt:lpstr>
      <vt:lpstr>GASB_Stmts!Print_Area</vt:lpstr>
      <vt:lpstr>Index!Print_Area</vt:lpstr>
      <vt:lpstr>Variances!Print_Area</vt:lpstr>
      <vt:lpstr>'All Agencies'!Print_Titles</vt:lpstr>
      <vt:lpstr>Index!Print_Titles</vt:lpstr>
      <vt:lpstr>'Pkg Updates'!Print_Titles</vt:lpstr>
      <vt:lpstr>PriorYrBal!Print_Titles</vt:lpstr>
      <vt:lpstr>w515Data</vt:lpstr>
      <vt:lpstr>w520Data</vt:lpstr>
      <vt:lpstr>w525Data</vt:lpstr>
      <vt:lpstr>w530Data</vt:lpstr>
    </vt:vector>
  </TitlesOfParts>
  <Company>State of North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cmurphy</dc:creator>
  <cp:lastModifiedBy>Battle, Kim R</cp:lastModifiedBy>
  <cp:lastPrinted>2022-04-07T16:40:48Z</cp:lastPrinted>
  <dcterms:created xsi:type="dcterms:W3CDTF">2003-04-21T14:28:15Z</dcterms:created>
  <dcterms:modified xsi:type="dcterms:W3CDTF">2022-06-02T21:09:28Z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