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K:\SASD\22CAFR\Packages\SIG\"/>
    </mc:Choice>
  </mc:AlternateContent>
  <xr:revisionPtr revIDLastSave="0" documentId="13_ncr:1_{421B6F24-BBB7-472B-BDCC-99BCCA833F70}" xr6:coauthVersionLast="47" xr6:coauthVersionMax="47" xr10:uidLastSave="{00000000-0000-0000-0000-000000000000}"/>
  <bookViews>
    <workbookView xWindow="-28920" yWindow="-120" windowWidth="29040" windowHeight="15840" tabRatio="807" xr2:uid="{00000000-000D-0000-FFFF-FFFF00000000}"/>
  </bookViews>
  <sheets>
    <sheet name=" Use Stmt" sheetId="6" r:id="rId1"/>
    <sheet name="Info" sheetId="7" r:id="rId2"/>
    <sheet name="Exh A" sheetId="1" r:id="rId3"/>
    <sheet name="Exh B" sheetId="2" r:id="rId4"/>
    <sheet name="Adjustments" sheetId="4" r:id="rId5"/>
    <sheet name="Exh D" sheetId="3" r:id="rId6"/>
    <sheet name="Exh E" sheetId="5" r:id="rId7"/>
    <sheet name="Comments" sheetId="8" r:id="rId8"/>
    <sheet name="Net Assets" sheetId="9" r:id="rId9"/>
    <sheet name="PriorYrExhD" sheetId="10" r:id="rId10"/>
    <sheet name="PriorYrExhE" sheetId="11" r:id="rId11"/>
    <sheet name="PYExhD Data" sheetId="12" r:id="rId12"/>
    <sheet name="PYExhE Data" sheetId="13" r:id="rId13"/>
  </sheets>
  <definedNames>
    <definedName name="EquityData">'Net Assets'!$A$4:$D$23</definedName>
    <definedName name="EquityDataRow">'Net Assets'!$A$4:$A$23</definedName>
    <definedName name="FASB_ADJ">Adjustments!$A$7:$N$72</definedName>
    <definedName name="FASB_BS">'Exh A'!$A$9:$N$43</definedName>
    <definedName name="FASB_IS">'Exh B'!$A$9:$N$23</definedName>
    <definedName name="FCCSnum">'Net Assets'!$R$5:$S$22</definedName>
    <definedName name="Number">'Net Assets'!$A$4:$A$22</definedName>
    <definedName name="_xlnm.Print_Area" localSheetId="4">Adjustments!$A$1:$O$165</definedName>
    <definedName name="_xlnm.Print_Area" localSheetId="7">Comments!$A$1:$A$33</definedName>
    <definedName name="_xlnm.Print_Area" localSheetId="2">'Exh A'!$A$1:$N$76</definedName>
    <definedName name="_xlnm.Print_Area" localSheetId="3">'Exh B'!$A$1:$N$47</definedName>
    <definedName name="_xlnm.Print_Area" localSheetId="5">'Exh D'!$A$1:$J$60</definedName>
    <definedName name="_xlnm.Print_Area" localSheetId="1">Info!$A$1:$G$35</definedName>
    <definedName name="_xlnm.Print_Area" localSheetId="8">'Net Assets'!$A$1:$K$30</definedName>
    <definedName name="_xlnm.Print_Titles" localSheetId="4">Adjustments!$1:$6</definedName>
    <definedName name="_xlnm.Print_Titles" localSheetId="2">'Exh A'!$1:$3</definedName>
    <definedName name="_xlnm.Print_Titles" localSheetId="9">PriorYrExhD!$C:$C,PriorYrExhD!$1:$6</definedName>
    <definedName name="_xlnm.Print_Titles" localSheetId="10">PriorYrExhE!$C:$C,PriorYrExhE!$1:$5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8" i="13" l="1"/>
  <c r="X9" i="13"/>
  <c r="X10" i="13"/>
  <c r="X11" i="13"/>
  <c r="X12" i="13"/>
  <c r="X13" i="13"/>
  <c r="X14" i="13"/>
  <c r="X15" i="13"/>
  <c r="X16" i="13"/>
  <c r="X17" i="13"/>
  <c r="X18" i="13"/>
  <c r="X21" i="13"/>
  <c r="X22" i="13"/>
  <c r="X23" i="13"/>
  <c r="X24" i="13"/>
  <c r="X25" i="13"/>
  <c r="X27" i="13"/>
  <c r="X28" i="13"/>
  <c r="X29" i="13"/>
  <c r="X30" i="13"/>
  <c r="X31" i="13"/>
  <c r="X7" i="13"/>
  <c r="X41" i="12"/>
  <c r="X35" i="12" l="1"/>
  <c r="X36" i="12"/>
  <c r="X37" i="12"/>
  <c r="X38" i="12"/>
  <c r="X39" i="12"/>
  <c r="X40" i="12"/>
  <c r="X34" i="12"/>
  <c r="X31" i="12"/>
  <c r="X22" i="12"/>
  <c r="X23" i="12"/>
  <c r="X24" i="12"/>
  <c r="X25" i="12"/>
  <c r="X26" i="12"/>
  <c r="X27" i="12"/>
  <c r="X28" i="12"/>
  <c r="X29" i="12"/>
  <c r="X30" i="12"/>
  <c r="X21" i="12"/>
  <c r="X18" i="12"/>
  <c r="X8" i="12"/>
  <c r="X9" i="12"/>
  <c r="X10" i="12"/>
  <c r="X11" i="12"/>
  <c r="X12" i="12"/>
  <c r="X13" i="12"/>
  <c r="X14" i="12"/>
  <c r="X15" i="12"/>
  <c r="X16" i="12"/>
  <c r="X17" i="12"/>
  <c r="X7" i="12"/>
  <c r="T33" i="13" l="1"/>
  <c r="P2" i="3" l="1"/>
  <c r="F3" i="3"/>
  <c r="P1" i="3" s="1"/>
  <c r="Z33" i="13" l="1"/>
  <c r="F33" i="13"/>
  <c r="G33" i="13"/>
  <c r="H33" i="13"/>
  <c r="I33" i="13"/>
  <c r="J33" i="13"/>
  <c r="K33" i="13"/>
  <c r="L33" i="13"/>
  <c r="M33" i="13"/>
  <c r="N33" i="13"/>
  <c r="O33" i="13"/>
  <c r="P33" i="13"/>
  <c r="Q33" i="13"/>
  <c r="R33" i="13"/>
  <c r="S33" i="13"/>
  <c r="U33" i="13"/>
  <c r="V33" i="13"/>
  <c r="W33" i="13"/>
  <c r="X33" i="13"/>
  <c r="E33" i="13"/>
  <c r="L124" i="4" l="1"/>
  <c r="J124" i="4"/>
  <c r="H124" i="4"/>
  <c r="F124" i="4"/>
  <c r="D124" i="4"/>
  <c r="L115" i="4"/>
  <c r="J115" i="4"/>
  <c r="H115" i="4"/>
  <c r="F115" i="4"/>
  <c r="D115" i="4"/>
  <c r="L100" i="4"/>
  <c r="L101" i="4" s="1"/>
  <c r="J100" i="4"/>
  <c r="J101" i="4" s="1"/>
  <c r="H100" i="4"/>
  <c r="H101" i="4" s="1"/>
  <c r="F100" i="4"/>
  <c r="F101" i="4" s="1"/>
  <c r="D100" i="4"/>
  <c r="D101" i="4" s="1"/>
  <c r="N99" i="4"/>
  <c r="N98" i="4"/>
  <c r="D37" i="3" s="1"/>
  <c r="N100" i="4" l="1"/>
  <c r="V28" i="11"/>
  <c r="V27" i="11"/>
  <c r="V20" i="11"/>
  <c r="V21" i="11"/>
  <c r="V22" i="11"/>
  <c r="V19" i="11"/>
  <c r="V8" i="11"/>
  <c r="V9" i="11"/>
  <c r="V10" i="11"/>
  <c r="V11" i="11"/>
  <c r="V12" i="11"/>
  <c r="V13" i="11"/>
  <c r="V14" i="11"/>
  <c r="V15" i="11"/>
  <c r="V7" i="11"/>
  <c r="U28" i="11"/>
  <c r="U27" i="11"/>
  <c r="U20" i="11"/>
  <c r="U21" i="11"/>
  <c r="U22" i="11"/>
  <c r="U19" i="11"/>
  <c r="U8" i="11"/>
  <c r="U9" i="11"/>
  <c r="U10" i="11"/>
  <c r="U11" i="11"/>
  <c r="U12" i="11"/>
  <c r="U13" i="11"/>
  <c r="U14" i="11"/>
  <c r="U15" i="11"/>
  <c r="U7" i="11"/>
  <c r="T28" i="11"/>
  <c r="T27" i="11"/>
  <c r="T20" i="11"/>
  <c r="T21" i="11"/>
  <c r="T22" i="11"/>
  <c r="T19" i="11"/>
  <c r="T8" i="11"/>
  <c r="T9" i="11"/>
  <c r="T10" i="11"/>
  <c r="T11" i="11"/>
  <c r="T12" i="11"/>
  <c r="T13" i="11"/>
  <c r="T14" i="11"/>
  <c r="T15" i="11"/>
  <c r="T7" i="11"/>
  <c r="Q28" i="11"/>
  <c r="Q27" i="11"/>
  <c r="Q20" i="11"/>
  <c r="Q21" i="11"/>
  <c r="Q22" i="11"/>
  <c r="Q19" i="11"/>
  <c r="Q8" i="11"/>
  <c r="Q9" i="11"/>
  <c r="Q10" i="11"/>
  <c r="Q11" i="11"/>
  <c r="Q12" i="11"/>
  <c r="Q13" i="11"/>
  <c r="Q14" i="11"/>
  <c r="Q15" i="11"/>
  <c r="Q7" i="11"/>
  <c r="O28" i="11"/>
  <c r="O27" i="11"/>
  <c r="O20" i="11"/>
  <c r="O21" i="11"/>
  <c r="O22" i="11"/>
  <c r="O19" i="11"/>
  <c r="O8" i="11"/>
  <c r="O9" i="11"/>
  <c r="O10" i="11"/>
  <c r="O11" i="11"/>
  <c r="O12" i="11"/>
  <c r="O13" i="11"/>
  <c r="O14" i="11"/>
  <c r="O15" i="11"/>
  <c r="O7" i="11"/>
  <c r="M28" i="11"/>
  <c r="M27" i="11"/>
  <c r="M20" i="11"/>
  <c r="M21" i="11"/>
  <c r="M22" i="11"/>
  <c r="M19" i="11"/>
  <c r="M8" i="11"/>
  <c r="M9" i="11"/>
  <c r="M10" i="11"/>
  <c r="M11" i="11"/>
  <c r="M12" i="11"/>
  <c r="M13" i="11"/>
  <c r="M14" i="11"/>
  <c r="M15" i="11"/>
  <c r="M7" i="11"/>
  <c r="L28" i="11"/>
  <c r="L27" i="11"/>
  <c r="L20" i="11"/>
  <c r="L21" i="11"/>
  <c r="L22" i="11"/>
  <c r="L19" i="11"/>
  <c r="L8" i="11"/>
  <c r="L9" i="11"/>
  <c r="L10" i="11"/>
  <c r="L11" i="11"/>
  <c r="L12" i="11"/>
  <c r="L13" i="11"/>
  <c r="L14" i="11"/>
  <c r="L15" i="11"/>
  <c r="L7" i="11"/>
  <c r="J28" i="11"/>
  <c r="J27" i="11"/>
  <c r="J20" i="11"/>
  <c r="J21" i="11"/>
  <c r="J22" i="11"/>
  <c r="J19" i="11"/>
  <c r="J8" i="11"/>
  <c r="J9" i="11"/>
  <c r="J10" i="11"/>
  <c r="J11" i="11"/>
  <c r="J12" i="11"/>
  <c r="J13" i="11"/>
  <c r="J14" i="11"/>
  <c r="J15" i="11"/>
  <c r="J7" i="11"/>
  <c r="I28" i="11"/>
  <c r="I27" i="11"/>
  <c r="I20" i="11"/>
  <c r="I21" i="11"/>
  <c r="I22" i="11"/>
  <c r="I19" i="11"/>
  <c r="I8" i="11"/>
  <c r="I9" i="11"/>
  <c r="I10" i="11"/>
  <c r="I11" i="11"/>
  <c r="I12" i="11"/>
  <c r="I13" i="11"/>
  <c r="I14" i="11"/>
  <c r="I15" i="11"/>
  <c r="I7" i="11"/>
  <c r="G28" i="11"/>
  <c r="G27" i="11"/>
  <c r="G20" i="11"/>
  <c r="G21" i="11"/>
  <c r="G22" i="11"/>
  <c r="G19" i="11"/>
  <c r="G8" i="11"/>
  <c r="G9" i="11"/>
  <c r="G10" i="11"/>
  <c r="G11" i="11"/>
  <c r="G12" i="11"/>
  <c r="G13" i="11"/>
  <c r="G14" i="11"/>
  <c r="G15" i="11"/>
  <c r="G7" i="11"/>
  <c r="F28" i="11"/>
  <c r="F27" i="11"/>
  <c r="F20" i="11"/>
  <c r="F21" i="11"/>
  <c r="F22" i="11"/>
  <c r="F19" i="11"/>
  <c r="F8" i="11"/>
  <c r="F9" i="11"/>
  <c r="F10" i="11"/>
  <c r="F11" i="11"/>
  <c r="F12" i="11"/>
  <c r="F13" i="11"/>
  <c r="F14" i="11"/>
  <c r="F15" i="11"/>
  <c r="F7" i="11"/>
  <c r="V37" i="10"/>
  <c r="V39" i="10"/>
  <c r="V40" i="10"/>
  <c r="V34" i="10"/>
  <c r="V22" i="10"/>
  <c r="V23" i="10"/>
  <c r="V24" i="10"/>
  <c r="V25" i="10"/>
  <c r="V26" i="10"/>
  <c r="V27" i="10"/>
  <c r="V29" i="10"/>
  <c r="V30" i="10"/>
  <c r="V21" i="10"/>
  <c r="V8" i="10"/>
  <c r="V9" i="10"/>
  <c r="V10" i="10"/>
  <c r="V11" i="10"/>
  <c r="V12" i="10"/>
  <c r="V13" i="10"/>
  <c r="V14" i="10"/>
  <c r="V15" i="10"/>
  <c r="V16" i="10"/>
  <c r="V17" i="10"/>
  <c r="V7" i="10"/>
  <c r="U37" i="10"/>
  <c r="U39" i="10"/>
  <c r="U40" i="10"/>
  <c r="U34" i="10"/>
  <c r="U22" i="10"/>
  <c r="U23" i="10"/>
  <c r="U24" i="10"/>
  <c r="U25" i="10"/>
  <c r="U26" i="10"/>
  <c r="U27" i="10"/>
  <c r="U29" i="10"/>
  <c r="U30" i="10"/>
  <c r="U21" i="10"/>
  <c r="U8" i="10"/>
  <c r="U9" i="10"/>
  <c r="U10" i="10"/>
  <c r="U11" i="10"/>
  <c r="U12" i="10"/>
  <c r="U13" i="10"/>
  <c r="U14" i="10"/>
  <c r="U15" i="10"/>
  <c r="U16" i="10"/>
  <c r="U17" i="10"/>
  <c r="U7" i="10"/>
  <c r="T37" i="10"/>
  <c r="T39" i="10"/>
  <c r="T40" i="10"/>
  <c r="T34" i="10"/>
  <c r="T22" i="10"/>
  <c r="T23" i="10"/>
  <c r="T24" i="10"/>
  <c r="T25" i="10"/>
  <c r="T26" i="10"/>
  <c r="T27" i="10"/>
  <c r="T29" i="10"/>
  <c r="T30" i="10"/>
  <c r="T21" i="10"/>
  <c r="T8" i="10"/>
  <c r="T9" i="10"/>
  <c r="T10" i="10"/>
  <c r="T11" i="10"/>
  <c r="T12" i="10"/>
  <c r="T13" i="10"/>
  <c r="T14" i="10"/>
  <c r="T15" i="10"/>
  <c r="T16" i="10"/>
  <c r="T17" i="10"/>
  <c r="T7" i="10"/>
  <c r="Q37" i="10"/>
  <c r="Q39" i="10"/>
  <c r="Q40" i="10"/>
  <c r="Q34" i="10"/>
  <c r="Q22" i="10"/>
  <c r="Q23" i="10"/>
  <c r="Q24" i="10"/>
  <c r="Q25" i="10"/>
  <c r="Q26" i="10"/>
  <c r="Q27" i="10"/>
  <c r="Q29" i="10"/>
  <c r="Q30" i="10"/>
  <c r="Q21" i="10"/>
  <c r="Q8" i="10"/>
  <c r="Q9" i="10"/>
  <c r="Q10" i="10"/>
  <c r="Q11" i="10"/>
  <c r="Q12" i="10"/>
  <c r="Q13" i="10"/>
  <c r="Q14" i="10"/>
  <c r="Q15" i="10"/>
  <c r="Q16" i="10"/>
  <c r="Q17" i="10"/>
  <c r="Q7" i="10"/>
  <c r="O37" i="10"/>
  <c r="O39" i="10"/>
  <c r="O40" i="10"/>
  <c r="O34" i="10"/>
  <c r="O22" i="10"/>
  <c r="O23" i="10"/>
  <c r="O24" i="10"/>
  <c r="O25" i="10"/>
  <c r="O26" i="10"/>
  <c r="O27" i="10"/>
  <c r="O29" i="10"/>
  <c r="O30" i="10"/>
  <c r="O21" i="10"/>
  <c r="O8" i="10"/>
  <c r="O9" i="10"/>
  <c r="O10" i="10"/>
  <c r="O11" i="10"/>
  <c r="O12" i="10"/>
  <c r="O13" i="10"/>
  <c r="O14" i="10"/>
  <c r="O15" i="10"/>
  <c r="O16" i="10"/>
  <c r="O17" i="10"/>
  <c r="O7" i="10"/>
  <c r="M37" i="10"/>
  <c r="M39" i="10"/>
  <c r="M40" i="10"/>
  <c r="M34" i="10"/>
  <c r="M22" i="10"/>
  <c r="M23" i="10"/>
  <c r="M24" i="10"/>
  <c r="M25" i="10"/>
  <c r="M26" i="10"/>
  <c r="M27" i="10"/>
  <c r="M29" i="10"/>
  <c r="M30" i="10"/>
  <c r="M21" i="10"/>
  <c r="M8" i="10"/>
  <c r="M9" i="10"/>
  <c r="M10" i="10"/>
  <c r="M11" i="10"/>
  <c r="M12" i="10"/>
  <c r="M13" i="10"/>
  <c r="M14" i="10"/>
  <c r="M15" i="10"/>
  <c r="M16" i="10"/>
  <c r="M17" i="10"/>
  <c r="M7" i="10"/>
  <c r="L37" i="10"/>
  <c r="L39" i="10"/>
  <c r="L40" i="10"/>
  <c r="L34" i="10"/>
  <c r="L22" i="10"/>
  <c r="L23" i="10"/>
  <c r="L24" i="10"/>
  <c r="L25" i="10"/>
  <c r="L26" i="10"/>
  <c r="L27" i="10"/>
  <c r="L29" i="10"/>
  <c r="L30" i="10"/>
  <c r="L21" i="10"/>
  <c r="L8" i="10"/>
  <c r="L9" i="10"/>
  <c r="L10" i="10"/>
  <c r="L11" i="10"/>
  <c r="L12" i="10"/>
  <c r="L13" i="10"/>
  <c r="L14" i="10"/>
  <c r="L15" i="10"/>
  <c r="L16" i="10"/>
  <c r="L17" i="10"/>
  <c r="L7" i="10"/>
  <c r="J37" i="10"/>
  <c r="J39" i="10"/>
  <c r="J40" i="10"/>
  <c r="J34" i="10"/>
  <c r="J22" i="10"/>
  <c r="J23" i="10"/>
  <c r="J24" i="10"/>
  <c r="J25" i="10"/>
  <c r="J26" i="10"/>
  <c r="J27" i="10"/>
  <c r="J29" i="10"/>
  <c r="J30" i="10"/>
  <c r="J21" i="10"/>
  <c r="J8" i="10"/>
  <c r="J9" i="10"/>
  <c r="J10" i="10"/>
  <c r="J11" i="10"/>
  <c r="J12" i="10"/>
  <c r="J13" i="10"/>
  <c r="J14" i="10"/>
  <c r="J15" i="10"/>
  <c r="J16" i="10"/>
  <c r="J17" i="10"/>
  <c r="J7" i="10"/>
  <c r="I37" i="10"/>
  <c r="I39" i="10"/>
  <c r="I40" i="10"/>
  <c r="I34" i="10"/>
  <c r="I22" i="10"/>
  <c r="I23" i="10"/>
  <c r="I24" i="10"/>
  <c r="I25" i="10"/>
  <c r="I26" i="10"/>
  <c r="I27" i="10"/>
  <c r="I29" i="10"/>
  <c r="I30" i="10"/>
  <c r="I21" i="10"/>
  <c r="I8" i="10"/>
  <c r="I9" i="10"/>
  <c r="I10" i="10"/>
  <c r="I11" i="10"/>
  <c r="I12" i="10"/>
  <c r="I13" i="10"/>
  <c r="I14" i="10"/>
  <c r="I15" i="10"/>
  <c r="I16" i="10"/>
  <c r="I17" i="10"/>
  <c r="I7" i="10"/>
  <c r="G37" i="10"/>
  <c r="G39" i="10"/>
  <c r="G40" i="10"/>
  <c r="G34" i="10"/>
  <c r="G22" i="10"/>
  <c r="G23" i="10"/>
  <c r="G24" i="10"/>
  <c r="G25" i="10"/>
  <c r="G26" i="10"/>
  <c r="G27" i="10"/>
  <c r="G29" i="10"/>
  <c r="G30" i="10"/>
  <c r="G21" i="10"/>
  <c r="G8" i="10"/>
  <c r="G9" i="10"/>
  <c r="G10" i="10"/>
  <c r="G11" i="10"/>
  <c r="G12" i="10"/>
  <c r="G13" i="10"/>
  <c r="G14" i="10"/>
  <c r="G15" i="10"/>
  <c r="G16" i="10"/>
  <c r="G17" i="10"/>
  <c r="G7" i="10"/>
  <c r="F37" i="10"/>
  <c r="F39" i="10"/>
  <c r="F40" i="10"/>
  <c r="F34" i="10"/>
  <c r="F22" i="10"/>
  <c r="F23" i="10"/>
  <c r="F24" i="10"/>
  <c r="F25" i="10"/>
  <c r="F26" i="10"/>
  <c r="F27" i="10"/>
  <c r="F29" i="10"/>
  <c r="F30" i="10"/>
  <c r="F21" i="10"/>
  <c r="F8" i="10"/>
  <c r="F9" i="10"/>
  <c r="F10" i="10"/>
  <c r="F11" i="10"/>
  <c r="F12" i="10"/>
  <c r="F13" i="10"/>
  <c r="F14" i="10"/>
  <c r="F15" i="10"/>
  <c r="F16" i="10"/>
  <c r="F17" i="10"/>
  <c r="F7" i="10"/>
  <c r="AD53" i="12"/>
  <c r="S43" i="12"/>
  <c r="R43" i="12"/>
  <c r="P43" i="12"/>
  <c r="N43" i="12"/>
  <c r="K43" i="12"/>
  <c r="H43" i="12"/>
  <c r="E43" i="12"/>
  <c r="AA43" i="12"/>
  <c r="Z43" i="12"/>
  <c r="Y43" i="12"/>
  <c r="L43" i="12"/>
  <c r="J43" i="12"/>
  <c r="Q43" i="12"/>
  <c r="M43" i="12"/>
  <c r="Q16" i="11" l="1"/>
  <c r="U43" i="12"/>
  <c r="V43" i="12"/>
  <c r="T43" i="12"/>
  <c r="G43" i="12"/>
  <c r="O43" i="12"/>
  <c r="F43" i="12"/>
  <c r="I43" i="12"/>
  <c r="AC43" i="12"/>
  <c r="AE46" i="12" l="1"/>
  <c r="X43" i="12"/>
  <c r="AE45" i="12"/>
  <c r="AE43" i="12" l="1"/>
  <c r="AD43" i="12"/>
  <c r="F16" i="11" l="1"/>
  <c r="G16" i="11"/>
  <c r="H16" i="11"/>
  <c r="I16" i="11"/>
  <c r="J16" i="11"/>
  <c r="K16" i="11"/>
  <c r="L16" i="11"/>
  <c r="M16" i="11"/>
  <c r="N16" i="11"/>
  <c r="O16" i="11"/>
  <c r="P16" i="11"/>
  <c r="R16" i="11"/>
  <c r="S16" i="11"/>
  <c r="T16" i="11"/>
  <c r="U16" i="11"/>
  <c r="V16" i="11"/>
  <c r="X10" i="10" l="1"/>
  <c r="X21" i="10" l="1"/>
  <c r="X27" i="11" l="1"/>
  <c r="D10" i="3" l="1"/>
  <c r="D48" i="1"/>
  <c r="N19" i="1"/>
  <c r="Q18" i="10" l="1"/>
  <c r="X14" i="10"/>
  <c r="E18" i="10"/>
  <c r="F18" i="10"/>
  <c r="G18" i="10"/>
  <c r="H18" i="10"/>
  <c r="I18" i="10"/>
  <c r="J18" i="10"/>
  <c r="K18" i="10"/>
  <c r="L18" i="10"/>
  <c r="N18" i="10"/>
  <c r="O18" i="10"/>
  <c r="P18" i="10"/>
  <c r="R18" i="10"/>
  <c r="S18" i="10"/>
  <c r="T18" i="10"/>
  <c r="U18" i="10"/>
  <c r="V18" i="10"/>
  <c r="E16" i="11"/>
  <c r="D107" i="4"/>
  <c r="N23" i="1"/>
  <c r="D14" i="3" s="1"/>
  <c r="W31" i="11"/>
  <c r="X28" i="11"/>
  <c r="X21" i="11"/>
  <c r="T23" i="11"/>
  <c r="X20" i="11"/>
  <c r="V23" i="11"/>
  <c r="V25" i="11" s="1"/>
  <c r="V29" i="11" s="1"/>
  <c r="S23" i="11"/>
  <c r="R23" i="11"/>
  <c r="O23" i="11"/>
  <c r="N23" i="11"/>
  <c r="K23" i="11"/>
  <c r="X19" i="11"/>
  <c r="F23" i="11"/>
  <c r="X12" i="11"/>
  <c r="X8" i="11"/>
  <c r="V41" i="10"/>
  <c r="C22" i="9" s="1"/>
  <c r="U41" i="10"/>
  <c r="C21" i="9" s="1"/>
  <c r="T41" i="10"/>
  <c r="C20" i="9" s="1"/>
  <c r="S41" i="10"/>
  <c r="R41" i="10"/>
  <c r="Q41" i="10"/>
  <c r="C17" i="9" s="1"/>
  <c r="P41" i="10"/>
  <c r="O41" i="10"/>
  <c r="C15" i="9" s="1"/>
  <c r="N41" i="10"/>
  <c r="M41" i="10"/>
  <c r="C13" i="9" s="1"/>
  <c r="L41" i="10"/>
  <c r="C12" i="9" s="1"/>
  <c r="K41" i="10"/>
  <c r="J41" i="10"/>
  <c r="C10" i="9" s="1"/>
  <c r="I41" i="10"/>
  <c r="C9" i="9" s="1"/>
  <c r="H41" i="10"/>
  <c r="G41" i="10"/>
  <c r="C7" i="9" s="1"/>
  <c r="F41" i="10"/>
  <c r="C6" i="9" s="1"/>
  <c r="N28" i="2" s="1"/>
  <c r="O28" i="2" s="1"/>
  <c r="E41" i="10"/>
  <c r="X40" i="10"/>
  <c r="X39" i="10"/>
  <c r="X38" i="10"/>
  <c r="X37" i="10"/>
  <c r="X36" i="10"/>
  <c r="X35" i="10"/>
  <c r="X34" i="10"/>
  <c r="V31" i="10"/>
  <c r="U31" i="10"/>
  <c r="T31" i="10"/>
  <c r="S31" i="10"/>
  <c r="R31" i="10"/>
  <c r="Q31" i="10"/>
  <c r="P31" i="10"/>
  <c r="O31" i="10"/>
  <c r="N31" i="10"/>
  <c r="M31" i="10"/>
  <c r="L31" i="10"/>
  <c r="K31" i="10"/>
  <c r="J31" i="10"/>
  <c r="I31" i="10"/>
  <c r="H31" i="10"/>
  <c r="G31" i="10"/>
  <c r="F31" i="10"/>
  <c r="E31" i="10"/>
  <c r="X30" i="10"/>
  <c r="X29" i="10"/>
  <c r="X28" i="10"/>
  <c r="X27" i="10"/>
  <c r="X26" i="10"/>
  <c r="X25" i="10"/>
  <c r="X24" i="10"/>
  <c r="X23" i="10"/>
  <c r="X22" i="10"/>
  <c r="X17" i="10"/>
  <c r="X16" i="10"/>
  <c r="X15" i="10"/>
  <c r="X13" i="10"/>
  <c r="X11" i="10"/>
  <c r="X9" i="10"/>
  <c r="X8" i="10"/>
  <c r="X7" i="10"/>
  <c r="F3" i="5"/>
  <c r="F19" i="5" s="1"/>
  <c r="F8" i="3"/>
  <c r="U23" i="11"/>
  <c r="Q23" i="11"/>
  <c r="P23" i="11"/>
  <c r="M23" i="11"/>
  <c r="L23" i="11"/>
  <c r="I23" i="11"/>
  <c r="G23" i="11"/>
  <c r="D7" i="7"/>
  <c r="L19" i="4"/>
  <c r="L20" i="4" s="1"/>
  <c r="J19" i="4"/>
  <c r="J20" i="4" s="1"/>
  <c r="H19" i="4"/>
  <c r="H20" i="4" s="1"/>
  <c r="F19" i="4"/>
  <c r="F20" i="4" s="1"/>
  <c r="D19" i="4"/>
  <c r="D20" i="4" s="1"/>
  <c r="N11" i="4"/>
  <c r="N14" i="4"/>
  <c r="N12" i="4"/>
  <c r="N70" i="4"/>
  <c r="N71" i="4"/>
  <c r="N72" i="4"/>
  <c r="L73" i="4"/>
  <c r="L74" i="4" s="1"/>
  <c r="J73" i="4"/>
  <c r="J74" i="4" s="1"/>
  <c r="H73" i="4"/>
  <c r="H74" i="4" s="1"/>
  <c r="F73" i="4"/>
  <c r="F74" i="4" s="1"/>
  <c r="D73" i="4"/>
  <c r="D74" i="4" s="1"/>
  <c r="L117" i="4"/>
  <c r="L116" i="4"/>
  <c r="J117" i="4"/>
  <c r="J116" i="4"/>
  <c r="H117" i="4"/>
  <c r="H116" i="4"/>
  <c r="F117" i="4"/>
  <c r="F116" i="4"/>
  <c r="D117" i="4"/>
  <c r="D116" i="4"/>
  <c r="D95" i="4"/>
  <c r="F95" i="4"/>
  <c r="H95" i="4"/>
  <c r="J95" i="4"/>
  <c r="L95" i="4"/>
  <c r="N25" i="4"/>
  <c r="N24" i="4"/>
  <c r="N63" i="4"/>
  <c r="N62" i="4"/>
  <c r="N61" i="4"/>
  <c r="N32" i="4"/>
  <c r="N38" i="4"/>
  <c r="N44" i="4"/>
  <c r="N50" i="4"/>
  <c r="N56" i="4"/>
  <c r="N31" i="4"/>
  <c r="N37" i="4"/>
  <c r="N43" i="4"/>
  <c r="N49" i="4"/>
  <c r="N55" i="4"/>
  <c r="N26" i="4"/>
  <c r="N23" i="4"/>
  <c r="N17" i="4"/>
  <c r="N15" i="4"/>
  <c r="N18" i="4"/>
  <c r="L48" i="1"/>
  <c r="L121" i="4" s="1"/>
  <c r="L107" i="4"/>
  <c r="L108" i="4"/>
  <c r="L109" i="4"/>
  <c r="L110" i="4"/>
  <c r="L111" i="4"/>
  <c r="J48" i="1"/>
  <c r="J121" i="4" s="1"/>
  <c r="J107" i="4"/>
  <c r="J108" i="4"/>
  <c r="J109" i="4"/>
  <c r="J110" i="4"/>
  <c r="J111" i="4"/>
  <c r="H48" i="1"/>
  <c r="H121" i="4" s="1"/>
  <c r="H107" i="4"/>
  <c r="H108" i="4"/>
  <c r="H109" i="4"/>
  <c r="H110" i="4"/>
  <c r="H111" i="4"/>
  <c r="F48" i="1"/>
  <c r="F121" i="4" s="1"/>
  <c r="F107" i="4"/>
  <c r="F108" i="4"/>
  <c r="F109" i="4"/>
  <c r="F110" i="4"/>
  <c r="F111" i="4"/>
  <c r="D108" i="4"/>
  <c r="D109" i="4"/>
  <c r="D110" i="4"/>
  <c r="D111" i="4"/>
  <c r="N12" i="2"/>
  <c r="N10" i="2"/>
  <c r="N11" i="2"/>
  <c r="N13" i="2"/>
  <c r="N14" i="2"/>
  <c r="N15" i="2"/>
  <c r="N16" i="2"/>
  <c r="N17" i="2"/>
  <c r="O17" i="2" s="1"/>
  <c r="N18" i="2"/>
  <c r="O18" i="2" s="1"/>
  <c r="N23" i="2"/>
  <c r="N29" i="2"/>
  <c r="D28" i="5" s="1"/>
  <c r="L19" i="2"/>
  <c r="L24" i="2"/>
  <c r="J19" i="2"/>
  <c r="J24" i="2"/>
  <c r="H19" i="2"/>
  <c r="H24" i="2"/>
  <c r="F19" i="2"/>
  <c r="F24" i="2"/>
  <c r="D19" i="2"/>
  <c r="D24" i="2"/>
  <c r="N94" i="4"/>
  <c r="N93" i="4"/>
  <c r="D89" i="4"/>
  <c r="D90" i="4" s="1"/>
  <c r="F89" i="4"/>
  <c r="F90" i="4" s="1"/>
  <c r="H89" i="4"/>
  <c r="H90" i="4" s="1"/>
  <c r="J89" i="4"/>
  <c r="J90" i="4" s="1"/>
  <c r="L89" i="4"/>
  <c r="L90" i="4" s="1"/>
  <c r="N88" i="4"/>
  <c r="N87" i="4"/>
  <c r="D83" i="4"/>
  <c r="D84" i="4" s="1"/>
  <c r="F83" i="4"/>
  <c r="H83" i="4"/>
  <c r="H84" i="4" s="1"/>
  <c r="J83" i="4"/>
  <c r="J84" i="4" s="1"/>
  <c r="L83" i="4"/>
  <c r="L84" i="4"/>
  <c r="N82" i="4"/>
  <c r="N81" i="4"/>
  <c r="N9" i="1"/>
  <c r="D7" i="3" s="1"/>
  <c r="N12" i="1"/>
  <c r="N11" i="1"/>
  <c r="N13" i="1"/>
  <c r="N14" i="1"/>
  <c r="N15" i="1"/>
  <c r="N16" i="1"/>
  <c r="N25" i="1"/>
  <c r="N17" i="1"/>
  <c r="N18" i="1"/>
  <c r="N20" i="1"/>
  <c r="D11" i="3" s="1"/>
  <c r="N21" i="1"/>
  <c r="N22" i="1"/>
  <c r="D13" i="3" s="1"/>
  <c r="N24" i="1"/>
  <c r="N30" i="1"/>
  <c r="N37" i="1"/>
  <c r="N31" i="1"/>
  <c r="D22" i="3" s="1"/>
  <c r="N32" i="1"/>
  <c r="D23" i="3" s="1"/>
  <c r="N33" i="1"/>
  <c r="D24" i="3" s="1"/>
  <c r="N34" i="1"/>
  <c r="D25" i="3" s="1"/>
  <c r="N35" i="1"/>
  <c r="D26" i="3" s="1"/>
  <c r="N36" i="1"/>
  <c r="D27" i="3" s="1"/>
  <c r="N47" i="1"/>
  <c r="N101" i="4" s="1"/>
  <c r="L27" i="1"/>
  <c r="L43" i="1"/>
  <c r="J27" i="1"/>
  <c r="J43" i="1"/>
  <c r="H27" i="1"/>
  <c r="H43" i="1"/>
  <c r="F27" i="1"/>
  <c r="F43" i="1"/>
  <c r="D27" i="1"/>
  <c r="D43" i="1"/>
  <c r="L4" i="4"/>
  <c r="J4" i="4"/>
  <c r="H4" i="4"/>
  <c r="F4" i="4"/>
  <c r="D4" i="4"/>
  <c r="L27" i="4"/>
  <c r="L28" i="4" s="1"/>
  <c r="J27" i="4"/>
  <c r="J28" i="4" s="1"/>
  <c r="H27" i="4"/>
  <c r="H28" i="4" s="1"/>
  <c r="F27" i="4"/>
  <c r="F28" i="4" s="1"/>
  <c r="L64" i="4"/>
  <c r="L65" i="4" s="1"/>
  <c r="J64" i="4"/>
  <c r="J65" i="4" s="1"/>
  <c r="H64" i="4"/>
  <c r="H65" i="4" s="1"/>
  <c r="F64" i="4"/>
  <c r="D64" i="4"/>
  <c r="D65" i="4" s="1"/>
  <c r="L57" i="4"/>
  <c r="L58" i="4" s="1"/>
  <c r="J57" i="4"/>
  <c r="J58" i="4" s="1"/>
  <c r="H57" i="4"/>
  <c r="H58" i="4" s="1"/>
  <c r="F57" i="4"/>
  <c r="F58" i="4" s="1"/>
  <c r="D57" i="4"/>
  <c r="L51" i="4"/>
  <c r="L52" i="4" s="1"/>
  <c r="J51" i="4"/>
  <c r="J52" i="4" s="1"/>
  <c r="H51" i="4"/>
  <c r="H52" i="4" s="1"/>
  <c r="F51" i="4"/>
  <c r="D51" i="4"/>
  <c r="D52" i="4" s="1"/>
  <c r="L45" i="4"/>
  <c r="L46" i="4" s="1"/>
  <c r="J45" i="4"/>
  <c r="J46" i="4" s="1"/>
  <c r="H45" i="4"/>
  <c r="H46" i="4" s="1"/>
  <c r="F45" i="4"/>
  <c r="F46" i="4" s="1"/>
  <c r="D45" i="4"/>
  <c r="D46" i="4" s="1"/>
  <c r="L39" i="4"/>
  <c r="L40" i="4" s="1"/>
  <c r="J39" i="4"/>
  <c r="J40" i="4" s="1"/>
  <c r="H39" i="4"/>
  <c r="H40" i="4" s="1"/>
  <c r="F39" i="4"/>
  <c r="F40" i="4" s="1"/>
  <c r="D39" i="4"/>
  <c r="D40" i="4" s="1"/>
  <c r="L33" i="4"/>
  <c r="L34" i="4" s="1"/>
  <c r="J33" i="4"/>
  <c r="J34" i="4" s="1"/>
  <c r="H33" i="4"/>
  <c r="H34" i="4" s="1"/>
  <c r="F33" i="4"/>
  <c r="F34" i="4" s="1"/>
  <c r="D33" i="4"/>
  <c r="D27" i="4"/>
  <c r="D28" i="4" s="1"/>
  <c r="L5" i="1"/>
  <c r="J5" i="1"/>
  <c r="H5" i="1"/>
  <c r="F5" i="1"/>
  <c r="D5" i="1"/>
  <c r="N38" i="1"/>
  <c r="N39" i="1"/>
  <c r="N40" i="1"/>
  <c r="N46" i="1"/>
  <c r="N42" i="1"/>
  <c r="N41" i="1"/>
  <c r="N26" i="1"/>
  <c r="N10" i="1"/>
  <c r="L5" i="2"/>
  <c r="J5" i="2"/>
  <c r="H5" i="2"/>
  <c r="F5" i="2"/>
  <c r="D5" i="2"/>
  <c r="N22" i="2"/>
  <c r="N9" i="2"/>
  <c r="X9" i="11"/>
  <c r="X10" i="11"/>
  <c r="X11" i="11"/>
  <c r="X13" i="11"/>
  <c r="X14" i="11"/>
  <c r="X15" i="11"/>
  <c r="X7" i="11"/>
  <c r="J23" i="11"/>
  <c r="J25" i="11" s="1"/>
  <c r="J29" i="11" s="1"/>
  <c r="X22" i="11"/>
  <c r="H23" i="11"/>
  <c r="E23" i="11"/>
  <c r="X12" i="10"/>
  <c r="M18" i="10"/>
  <c r="F52" i="4"/>
  <c r="F7" i="3" l="1"/>
  <c r="N24" i="2"/>
  <c r="F26" i="2"/>
  <c r="F30" i="2" s="1"/>
  <c r="N27" i="1"/>
  <c r="J26" i="2"/>
  <c r="J30" i="2" s="1"/>
  <c r="D29" i="3"/>
  <c r="H29" i="3" s="1"/>
  <c r="J29" i="3" s="1"/>
  <c r="L26" i="2"/>
  <c r="L30" i="2" s="1"/>
  <c r="L32" i="2" s="1"/>
  <c r="N109" i="4"/>
  <c r="D26" i="2"/>
  <c r="D30" i="2" s="1"/>
  <c r="E25" i="11"/>
  <c r="E29" i="11" s="1"/>
  <c r="E31" i="11" s="1"/>
  <c r="F118" i="4"/>
  <c r="F123" i="4" s="1"/>
  <c r="N116" i="4"/>
  <c r="N39" i="4"/>
  <c r="F40" i="3"/>
  <c r="F30" i="3"/>
  <c r="F26" i="3"/>
  <c r="J26" i="3" s="1"/>
  <c r="F22" i="3"/>
  <c r="H22" i="3" s="1"/>
  <c r="J22" i="3" s="1"/>
  <c r="F15" i="3"/>
  <c r="F11" i="3"/>
  <c r="H11" i="3" s="1"/>
  <c r="J11" i="3" s="1"/>
  <c r="F39" i="3"/>
  <c r="F29" i="3"/>
  <c r="F25" i="3"/>
  <c r="H25" i="3" s="1"/>
  <c r="J25" i="3" s="1"/>
  <c r="F21" i="3"/>
  <c r="F14" i="3"/>
  <c r="F37" i="3"/>
  <c r="H37" i="3" s="1"/>
  <c r="J37" i="3" s="1"/>
  <c r="F28" i="3"/>
  <c r="H28" i="3" s="1"/>
  <c r="F24" i="3"/>
  <c r="H24" i="3" s="1"/>
  <c r="J24" i="3" s="1"/>
  <c r="F17" i="3"/>
  <c r="F13" i="3"/>
  <c r="H13" i="3" s="1"/>
  <c r="J13" i="3" s="1"/>
  <c r="F9" i="3"/>
  <c r="F34" i="3"/>
  <c r="F27" i="3"/>
  <c r="F23" i="3"/>
  <c r="J23" i="3" s="1"/>
  <c r="F16" i="3"/>
  <c r="F12" i="3"/>
  <c r="F10" i="3"/>
  <c r="H10" i="3" s="1"/>
  <c r="J10" i="3" s="1"/>
  <c r="N25" i="11"/>
  <c r="N29" i="11" s="1"/>
  <c r="N31" i="11" s="1"/>
  <c r="V31" i="11"/>
  <c r="Q43" i="10"/>
  <c r="U43" i="10"/>
  <c r="K43" i="10"/>
  <c r="M25" i="11"/>
  <c r="M29" i="11" s="1"/>
  <c r="M31" i="11" s="1"/>
  <c r="J31" i="11"/>
  <c r="I25" i="11"/>
  <c r="I29" i="11" s="1"/>
  <c r="I31" i="11" s="1"/>
  <c r="U25" i="11"/>
  <c r="U29" i="11" s="1"/>
  <c r="U31" i="11" s="1"/>
  <c r="T25" i="11"/>
  <c r="T29" i="11" s="1"/>
  <c r="T31" i="11" s="1"/>
  <c r="Q25" i="11"/>
  <c r="Q29" i="11" s="1"/>
  <c r="Q31" i="11" s="1"/>
  <c r="R25" i="11"/>
  <c r="R29" i="11" s="1"/>
  <c r="R31" i="11" s="1"/>
  <c r="T43" i="10"/>
  <c r="X31" i="10"/>
  <c r="F10" i="5"/>
  <c r="F13" i="5"/>
  <c r="F11" i="5"/>
  <c r="F28" i="5"/>
  <c r="H28" i="5" s="1"/>
  <c r="J28" i="5" s="1"/>
  <c r="F12" i="5"/>
  <c r="F8" i="5"/>
  <c r="F14" i="5"/>
  <c r="F27" i="5"/>
  <c r="A1" i="8"/>
  <c r="A1" i="1"/>
  <c r="F15" i="5"/>
  <c r="F9" i="5"/>
  <c r="F20" i="5"/>
  <c r="F21" i="5"/>
  <c r="F7" i="5"/>
  <c r="F22" i="5"/>
  <c r="D50" i="1"/>
  <c r="D12" i="3"/>
  <c r="L50" i="1"/>
  <c r="D8" i="3"/>
  <c r="H8" i="3" s="1"/>
  <c r="J8" i="3" s="1"/>
  <c r="N73" i="4"/>
  <c r="F32" i="2"/>
  <c r="J32" i="2"/>
  <c r="F112" i="4"/>
  <c r="F122" i="4" s="1"/>
  <c r="P43" i="10"/>
  <c r="X41" i="10"/>
  <c r="C23" i="9"/>
  <c r="V43" i="10"/>
  <c r="P25" i="11"/>
  <c r="P29" i="11" s="1"/>
  <c r="P31" i="11" s="1"/>
  <c r="L25" i="11"/>
  <c r="L29" i="11" s="1"/>
  <c r="L31" i="11" s="1"/>
  <c r="N95" i="4"/>
  <c r="H26" i="2"/>
  <c r="H30" i="2" s="1"/>
  <c r="H32" i="2" s="1"/>
  <c r="L43" i="10"/>
  <c r="D14" i="5"/>
  <c r="M43" i="10"/>
  <c r="X16" i="11"/>
  <c r="N83" i="4"/>
  <c r="H112" i="4"/>
  <c r="H122" i="4" s="1"/>
  <c r="L112" i="4"/>
  <c r="L122" i="4" s="1"/>
  <c r="G43" i="10"/>
  <c r="D22" i="5"/>
  <c r="H43" i="10"/>
  <c r="D7" i="5"/>
  <c r="N27" i="4"/>
  <c r="N51" i="4"/>
  <c r="F84" i="4"/>
  <c r="D8" i="5"/>
  <c r="D16" i="3"/>
  <c r="L118" i="4"/>
  <c r="L123" i="4" s="1"/>
  <c r="N117" i="4"/>
  <c r="A1" i="2"/>
  <c r="N43" i="10"/>
  <c r="R43" i="10"/>
  <c r="E43" i="10"/>
  <c r="D12" i="5"/>
  <c r="D21" i="3"/>
  <c r="H7" i="3"/>
  <c r="J7" i="3" s="1"/>
  <c r="D11" i="5"/>
  <c r="N111" i="4"/>
  <c r="D30" i="3"/>
  <c r="H118" i="4"/>
  <c r="H123" i="4" s="1"/>
  <c r="S25" i="11"/>
  <c r="S29" i="11" s="1"/>
  <c r="S31" i="11" s="1"/>
  <c r="O25" i="11"/>
  <c r="O29" i="11" s="1"/>
  <c r="O31" i="11" s="1"/>
  <c r="K25" i="11"/>
  <c r="K29" i="11" s="1"/>
  <c r="K31" i="11" s="1"/>
  <c r="G25" i="11"/>
  <c r="G29" i="11" s="1"/>
  <c r="G31" i="11" s="1"/>
  <c r="D15" i="5"/>
  <c r="D10" i="5"/>
  <c r="N57" i="4"/>
  <c r="D20" i="5"/>
  <c r="H25" i="11"/>
  <c r="H29" i="11" s="1"/>
  <c r="H31" i="11" s="1"/>
  <c r="N64" i="4"/>
  <c r="J50" i="1"/>
  <c r="N124" i="4"/>
  <c r="N108" i="4"/>
  <c r="D15" i="3"/>
  <c r="H15" i="3" s="1"/>
  <c r="J15" i="3" s="1"/>
  <c r="N115" i="4"/>
  <c r="J118" i="4"/>
  <c r="J123" i="4" s="1"/>
  <c r="O43" i="10"/>
  <c r="J43" i="10"/>
  <c r="F43" i="10"/>
  <c r="A1" i="4"/>
  <c r="A1" i="3"/>
  <c r="A1" i="5"/>
  <c r="D17" i="3"/>
  <c r="X18" i="10"/>
  <c r="N107" i="4"/>
  <c r="D112" i="4"/>
  <c r="D118" i="4"/>
  <c r="N45" i="4"/>
  <c r="D58" i="4"/>
  <c r="F65" i="4"/>
  <c r="N43" i="1"/>
  <c r="F50" i="1"/>
  <c r="D9" i="3"/>
  <c r="N19" i="4"/>
  <c r="S43" i="10"/>
  <c r="I43" i="10"/>
  <c r="D34" i="4"/>
  <c r="N33" i="4"/>
  <c r="D121" i="4"/>
  <c r="N48" i="1"/>
  <c r="D27" i="5"/>
  <c r="N89" i="4"/>
  <c r="H50" i="1"/>
  <c r="D21" i="5"/>
  <c r="D19" i="5"/>
  <c r="H19" i="5" s="1"/>
  <c r="J19" i="5" s="1"/>
  <c r="D9" i="5"/>
  <c r="N19" i="2"/>
  <c r="D13" i="5"/>
  <c r="N110" i="4"/>
  <c r="J112" i="4"/>
  <c r="J122" i="4" s="1"/>
  <c r="X23" i="11"/>
  <c r="F25" i="11"/>
  <c r="F29" i="11" s="1"/>
  <c r="F31" i="11" s="1"/>
  <c r="H17" i="3" l="1"/>
  <c r="J17" i="3" s="1"/>
  <c r="H30" i="3"/>
  <c r="J30" i="3" s="1"/>
  <c r="H21" i="3"/>
  <c r="J21" i="3" s="1"/>
  <c r="J28" i="3"/>
  <c r="H23" i="3"/>
  <c r="H9" i="3"/>
  <c r="J9" i="3" s="1"/>
  <c r="H26" i="3"/>
  <c r="N26" i="2"/>
  <c r="F125" i="4"/>
  <c r="H27" i="5"/>
  <c r="J27" i="5" s="1"/>
  <c r="H12" i="3"/>
  <c r="J12" i="3" s="1"/>
  <c r="X25" i="11"/>
  <c r="X29" i="11" s="1"/>
  <c r="X31" i="11" s="1"/>
  <c r="H10" i="5"/>
  <c r="J10" i="5" s="1"/>
  <c r="H12" i="5"/>
  <c r="J12" i="5" s="1"/>
  <c r="H11" i="5"/>
  <c r="J11" i="5" s="1"/>
  <c r="H14" i="5"/>
  <c r="J14" i="5" s="1"/>
  <c r="H15" i="5"/>
  <c r="J15" i="5" s="1"/>
  <c r="H20" i="5"/>
  <c r="J20" i="5" s="1"/>
  <c r="X43" i="10"/>
  <c r="F41" i="3"/>
  <c r="H13" i="5"/>
  <c r="J13" i="5" s="1"/>
  <c r="H8" i="5"/>
  <c r="J8" i="5" s="1"/>
  <c r="H22" i="5"/>
  <c r="J22" i="5" s="1"/>
  <c r="H9" i="5"/>
  <c r="J9" i="5" s="1"/>
  <c r="H7" i="5"/>
  <c r="J7" i="5" s="1"/>
  <c r="F16" i="5"/>
  <c r="H21" i="5"/>
  <c r="J21" i="5" s="1"/>
  <c r="F23" i="5"/>
  <c r="H27" i="3"/>
  <c r="J27" i="3" s="1"/>
  <c r="H14" i="3"/>
  <c r="J14" i="3" s="1"/>
  <c r="J125" i="4"/>
  <c r="H125" i="4"/>
  <c r="L125" i="4"/>
  <c r="H16" i="3"/>
  <c r="J16" i="3" s="1"/>
  <c r="F31" i="3"/>
  <c r="D31" i="3"/>
  <c r="F18" i="3"/>
  <c r="N118" i="4"/>
  <c r="D123" i="4"/>
  <c r="N123" i="4" s="1"/>
  <c r="D32" i="2"/>
  <c r="N30" i="2"/>
  <c r="N121" i="4"/>
  <c r="N112" i="4"/>
  <c r="D122" i="4"/>
  <c r="N122" i="4" s="1"/>
  <c r="D18" i="3"/>
  <c r="D16" i="5"/>
  <c r="D23" i="5"/>
  <c r="F43" i="3" l="1"/>
  <c r="F25" i="5"/>
  <c r="F29" i="5" s="1"/>
  <c r="F31" i="5" s="1"/>
  <c r="D125" i="4"/>
  <c r="N125" i="4" s="1"/>
  <c r="D40" i="3" s="1"/>
  <c r="H40" i="3" s="1"/>
  <c r="J40" i="3" s="1"/>
  <c r="O83" i="4"/>
  <c r="O112" i="4"/>
  <c r="O89" i="4"/>
  <c r="O95" i="4"/>
  <c r="D34" i="3"/>
  <c r="D25" i="5"/>
  <c r="O118" i="4"/>
  <c r="D39" i="3"/>
  <c r="H39" i="3" s="1"/>
  <c r="J39" i="3" s="1"/>
  <c r="D29" i="5" l="1"/>
  <c r="H25" i="5"/>
  <c r="J25" i="5" s="1"/>
  <c r="H34" i="3"/>
  <c r="J34" i="3" s="1"/>
  <c r="D41" i="3"/>
  <c r="D43" i="3" s="1"/>
  <c r="D31" i="5" l="1"/>
</calcChain>
</file>

<file path=xl/sharedStrings.xml><?xml version="1.0" encoding="utf-8"?>
<sst xmlns="http://schemas.openxmlformats.org/spreadsheetml/2006/main" count="832" uniqueCount="470">
  <si>
    <t>Cash and cash equivalents</t>
  </si>
  <si>
    <t>Investments</t>
  </si>
  <si>
    <t>Real estate held for resale</t>
  </si>
  <si>
    <t>Assets</t>
  </si>
  <si>
    <t>Cash surrender value of life insurance</t>
  </si>
  <si>
    <t>Prepaid expenses</t>
  </si>
  <si>
    <t>Total assets</t>
  </si>
  <si>
    <t>Total</t>
  </si>
  <si>
    <t>In-kind gifts</t>
  </si>
  <si>
    <t>Accounts payable and accrued expenses</t>
  </si>
  <si>
    <t>Interest payable</t>
  </si>
  <si>
    <t>Deposits payable</t>
  </si>
  <si>
    <t>Split interest agreement obligations</t>
  </si>
  <si>
    <t>Notes payable</t>
  </si>
  <si>
    <t>Net Assets</t>
  </si>
  <si>
    <t>Unrestricted</t>
  </si>
  <si>
    <t>Total liabilities</t>
  </si>
  <si>
    <t>Total net assets</t>
  </si>
  <si>
    <t>Revenues</t>
  </si>
  <si>
    <t>Investment income</t>
  </si>
  <si>
    <t>Total revenues</t>
  </si>
  <si>
    <t>Expenses</t>
  </si>
  <si>
    <t>Total expenses</t>
  </si>
  <si>
    <t>Change in net assets</t>
  </si>
  <si>
    <t>Net assets - beginning of year</t>
  </si>
  <si>
    <t>Net assets - end of year</t>
  </si>
  <si>
    <t>Notes:</t>
  </si>
  <si>
    <t>Receivables, net</t>
  </si>
  <si>
    <t>Inventories</t>
  </si>
  <si>
    <t>Notes receivable, net</t>
  </si>
  <si>
    <t>ASSETS</t>
  </si>
  <si>
    <t>Capital assets, net</t>
  </si>
  <si>
    <t>Invested in capital assets, net of related debt</t>
  </si>
  <si>
    <t>Restricted for:</t>
  </si>
  <si>
    <t>Nonexpendable:</t>
  </si>
  <si>
    <t>NET ASSETS</t>
  </si>
  <si>
    <t>Expendable:</t>
  </si>
  <si>
    <t>LIABILITIES</t>
  </si>
  <si>
    <t>Accounts payable and accrued liabilities</t>
  </si>
  <si>
    <t>Current portion</t>
  </si>
  <si>
    <t>Noncurrent portion</t>
  </si>
  <si>
    <t>(Note: Should equal amount on Exhibit A)</t>
  </si>
  <si>
    <t>Noncapital gifts</t>
  </si>
  <si>
    <t>Capital gifts</t>
  </si>
  <si>
    <t>Increase (decrease) in net assets</t>
  </si>
  <si>
    <t>Additions to endowments</t>
  </si>
  <si>
    <t>Higher education</t>
  </si>
  <si>
    <t>Other expenses</t>
  </si>
  <si>
    <t>Payments to University</t>
  </si>
  <si>
    <t>Sales and services</t>
  </si>
  <si>
    <t>Rental and lease earnings</t>
  </si>
  <si>
    <t>Miscellaneous</t>
  </si>
  <si>
    <t>Deferred charges</t>
  </si>
  <si>
    <t>Assets held by trustee</t>
  </si>
  <si>
    <t>Bonds payable</t>
  </si>
  <si>
    <t>Interest rate swap fair value liability</t>
  </si>
  <si>
    <t>Rental and lease income</t>
  </si>
  <si>
    <t>Miscellaneous income</t>
  </si>
  <si>
    <t>Exhibit A</t>
  </si>
  <si>
    <t>Exhibit B</t>
  </si>
  <si>
    <t>Noncapital gift revenues recognized by University</t>
  </si>
  <si>
    <t>Capital gift revenues recognized by University</t>
  </si>
  <si>
    <t>Exhibit C</t>
  </si>
  <si>
    <t>Exhibit D</t>
  </si>
  <si>
    <t>(Note: Should equal amount on Exhibit B)</t>
  </si>
  <si>
    <t>Prepaid items</t>
  </si>
  <si>
    <t>Capital assets - nondepreciable</t>
  </si>
  <si>
    <t>Capital assets - depreciable, net</t>
  </si>
  <si>
    <t>Investment in joint venture</t>
  </si>
  <si>
    <t>Capital leases payable</t>
  </si>
  <si>
    <t>Funds held for others</t>
  </si>
  <si>
    <t>Annuities payable</t>
  </si>
  <si>
    <t>Assets held in charitable trusts and annuities</t>
  </si>
  <si>
    <t>Security deposits</t>
  </si>
  <si>
    <t>Property and equipment, net</t>
  </si>
  <si>
    <t>Contributed services and facilities</t>
  </si>
  <si>
    <t>Change in value of split interest agreements</t>
  </si>
  <si>
    <t>**</t>
  </si>
  <si>
    <t>(1)</t>
  </si>
  <si>
    <t>If the Foundation's separately issued Statement of Net Assets includes more than one column,</t>
  </si>
  <si>
    <t>Notes</t>
  </si>
  <si>
    <r>
      <t xml:space="preserve">Revenues </t>
    </r>
    <r>
      <rPr>
        <vertAlign val="superscript"/>
        <sz val="10"/>
        <rFont val="Arial"/>
        <family val="2"/>
      </rPr>
      <t>(2)</t>
    </r>
  </si>
  <si>
    <t>(2)</t>
  </si>
  <si>
    <t>See Adjustments tab for further breakdown.</t>
  </si>
  <si>
    <t>Within a foundation, amounts due to/due from other funds of that foundation should be eliminated and</t>
  </si>
  <si>
    <r>
      <t>Statement of Net Assets - FASB 117 Format</t>
    </r>
    <r>
      <rPr>
        <sz val="10"/>
        <rFont val="Arial"/>
        <family val="2"/>
      </rPr>
      <t xml:space="preserve"> </t>
    </r>
    <r>
      <rPr>
        <vertAlign val="superscript"/>
        <sz val="10"/>
        <rFont val="Arial"/>
        <family val="2"/>
      </rPr>
      <t>(1)</t>
    </r>
  </si>
  <si>
    <r>
      <t>Statement of Activities - FASB 117 Format</t>
    </r>
    <r>
      <rPr>
        <sz val="10"/>
        <rFont val="Arial"/>
        <family val="2"/>
      </rPr>
      <t xml:space="preserve"> </t>
    </r>
    <r>
      <rPr>
        <vertAlign val="superscript"/>
        <sz val="10"/>
        <rFont val="Arial"/>
        <family val="2"/>
      </rPr>
      <t>(1)</t>
    </r>
  </si>
  <si>
    <t>as the developer of the accompanying template.  Also, users should provide OSC with samples of any</t>
  </si>
  <si>
    <t>materials utilizing this template or parts thereof.  If you have any questions, please contact</t>
  </si>
  <si>
    <t>Mailing Address</t>
  </si>
  <si>
    <t>State of North Carolina</t>
  </si>
  <si>
    <t>Office of the State Controller</t>
  </si>
  <si>
    <t>1410 Mail Service Center</t>
  </si>
  <si>
    <t>Raleigh, NC 27699-1410</t>
  </si>
  <si>
    <t>Foundation Conversion Template</t>
  </si>
  <si>
    <t>Name of Foundation 1</t>
  </si>
  <si>
    <t>Name of Foundation 2</t>
  </si>
  <si>
    <t>Name of Foundation 3</t>
  </si>
  <si>
    <t>Name of Foundation 4</t>
  </si>
  <si>
    <t>Name of Foundation 5</t>
  </si>
  <si>
    <t>General Information</t>
  </si>
  <si>
    <t>(Note: Names must fit within the shaded areas)</t>
  </si>
  <si>
    <t>key the amounts from the "Total" column.</t>
  </si>
  <si>
    <t>(3)</t>
  </si>
  <si>
    <t>Gifts, donations, and contributions</t>
  </si>
  <si>
    <t>Gain on sale of capital assets</t>
  </si>
  <si>
    <r>
      <t xml:space="preserve">Expenses </t>
    </r>
    <r>
      <rPr>
        <b/>
        <vertAlign val="superscript"/>
        <sz val="10"/>
        <rFont val="Arial"/>
        <family val="2"/>
      </rPr>
      <t>(3)</t>
    </r>
  </si>
  <si>
    <t>Resource flows between foundations should be reported as revenues and expenses (and not as transfers) since each foundation is a</t>
  </si>
  <si>
    <t>separate legal entity.  Under GASB 34, resource flows between a primary government and its discretely presented component units</t>
  </si>
  <si>
    <t>(and between component units) should be reported as if they were external transactions - that is, as revenues and expenses.</t>
  </si>
  <si>
    <t>Membership fees that are exchange transactions should be included with "Sales and services".  Conversely, membership fees that are</t>
  </si>
  <si>
    <r>
      <t>Grants payable to the University</t>
    </r>
    <r>
      <rPr>
        <vertAlign val="superscript"/>
        <sz val="10"/>
        <rFont val="Arial"/>
        <family val="2"/>
      </rPr>
      <t xml:space="preserve"> (1)</t>
    </r>
  </si>
  <si>
    <t>universities and their component unit foundations.</t>
  </si>
  <si>
    <t>Exhibit E</t>
  </si>
  <si>
    <t>(Ending net assets agree with Exhibit D)</t>
  </si>
  <si>
    <t>(Ending net assets agree with Exhibit A)</t>
  </si>
  <si>
    <t>(4)</t>
  </si>
  <si>
    <t>North Carolina Universities</t>
  </si>
  <si>
    <t/>
  </si>
  <si>
    <t>Except for North Carolina public colleges and universities, we request that users make reference to OSC</t>
  </si>
  <si>
    <t>Promises to give</t>
  </si>
  <si>
    <t>Notes/loans receivable, net</t>
  </si>
  <si>
    <t>Grant revenues</t>
  </si>
  <si>
    <t>nonexchange transactions should be included with "Gifts, donations, and contributions".</t>
  </si>
  <si>
    <t>Noncapital grants</t>
  </si>
  <si>
    <t>Net realized/unrealized gains (losses) on investments</t>
  </si>
  <si>
    <t>Other Information</t>
  </si>
  <si>
    <t>Foundation's fiscal year-end date (MM/DD/YY)</t>
  </si>
  <si>
    <t>-</t>
  </si>
  <si>
    <t>Total foundation payables to the University should agree with the offsetting amount recorded by the</t>
  </si>
  <si>
    <t xml:space="preserve">University as "Due from University Component Units".  The only exception is for timing differences for </t>
  </si>
  <si>
    <t>University, the difference should be reclassified to "Accounts payable and accrued expenses".</t>
  </si>
  <si>
    <t>foundation payables to the University do not equal the offsetting receivable recognized by the</t>
  </si>
  <si>
    <t>foundations with different fiscal year-end dates.  When the fiscal years are the same and the total</t>
  </si>
  <si>
    <t>excluded from Exhibit A.  Amounts due to other University foundations should be included with</t>
  </si>
  <si>
    <t>"Accounts payable and accrued expenses".</t>
  </si>
  <si>
    <r>
      <t xml:space="preserve">Due to the University </t>
    </r>
    <r>
      <rPr>
        <vertAlign val="superscript"/>
        <sz val="10"/>
        <rFont val="Arial"/>
        <family val="2"/>
      </rPr>
      <t>(1)</t>
    </r>
  </si>
  <si>
    <t>(Assets minus liabilities equals net assets)</t>
  </si>
  <si>
    <t>Due within one year</t>
  </si>
  <si>
    <t>Long-term liabilities:</t>
  </si>
  <si>
    <t>Due in more than one year</t>
  </si>
  <si>
    <t>Preparer's Name</t>
  </si>
  <si>
    <t>Preparer's Phone No.</t>
  </si>
  <si>
    <t>Preparer's E-mail</t>
  </si>
  <si>
    <t>Foundation Conversion Template for Universities</t>
  </si>
  <si>
    <t>GENERAL INSTRUCTIONS:</t>
  </si>
  <si>
    <t xml:space="preserve">Throughout the workbook, please enter all amounts in "whole dollars" not cents.  </t>
  </si>
  <si>
    <t>Refer to the notes at the bottom of each tab for further information and instructions.</t>
  </si>
  <si>
    <t xml:space="preserve">Please add any suggestions or explanations of special situations on the "Comments" tab </t>
  </si>
  <si>
    <t>so that we may update the template as needed.</t>
  </si>
  <si>
    <t>Comments and Suggestions for Foundation template for Universities</t>
  </si>
  <si>
    <r>
      <t xml:space="preserve">Payments to University </t>
    </r>
    <r>
      <rPr>
        <sz val="8"/>
        <rFont val="Arial"/>
        <family val="2"/>
      </rPr>
      <t>(accrual)</t>
    </r>
    <r>
      <rPr>
        <sz val="10"/>
        <rFont val="Arial"/>
        <family val="2"/>
      </rPr>
      <t xml:space="preserve"> - noncapital </t>
    </r>
    <r>
      <rPr>
        <vertAlign val="superscript"/>
        <sz val="10"/>
        <rFont val="Arial"/>
        <family val="2"/>
      </rPr>
      <t>(1)</t>
    </r>
  </si>
  <si>
    <r>
      <t xml:space="preserve">Payments to University </t>
    </r>
    <r>
      <rPr>
        <sz val="8"/>
        <rFont val="Arial"/>
        <family val="2"/>
      </rPr>
      <t>(accrual)</t>
    </r>
    <r>
      <rPr>
        <sz val="10"/>
        <rFont val="Arial"/>
        <family val="2"/>
      </rPr>
      <t xml:space="preserve"> - capital </t>
    </r>
    <r>
      <rPr>
        <vertAlign val="superscript"/>
        <sz val="10"/>
        <rFont val="Arial"/>
        <family val="2"/>
      </rPr>
      <t>(1)</t>
    </r>
  </si>
  <si>
    <t>Name of the University</t>
  </si>
  <si>
    <t>U90</t>
  </si>
  <si>
    <t>Number</t>
  </si>
  <si>
    <t>Agency</t>
  </si>
  <si>
    <t>University Name</t>
  </si>
  <si>
    <t>U10</t>
  </si>
  <si>
    <t>U20</t>
  </si>
  <si>
    <t>U30</t>
  </si>
  <si>
    <t>U40</t>
  </si>
  <si>
    <t>U50</t>
  </si>
  <si>
    <t>U55</t>
  </si>
  <si>
    <t>U60</t>
  </si>
  <si>
    <t>U65</t>
  </si>
  <si>
    <t>U70</t>
  </si>
  <si>
    <t>U75</t>
  </si>
  <si>
    <t>U80</t>
  </si>
  <si>
    <t>U82</t>
  </si>
  <si>
    <t>U84</t>
  </si>
  <si>
    <t>U86</t>
  </si>
  <si>
    <t>U88</t>
  </si>
  <si>
    <t>U92</t>
  </si>
  <si>
    <t>North Carolina State University</t>
  </si>
  <si>
    <t>East Carolina University</t>
  </si>
  <si>
    <t>Western Carolina University</t>
  </si>
  <si>
    <t>Appalachian State University</t>
  </si>
  <si>
    <t>Winston-Salem State University</t>
  </si>
  <si>
    <t>Elizabeth City State University</t>
  </si>
  <si>
    <t>Fayetteville State University</t>
  </si>
  <si>
    <t>North Carolina Central University</t>
  </si>
  <si>
    <t>UNC - Chapel Hill</t>
  </si>
  <si>
    <t>UNC - Greensboro</t>
  </si>
  <si>
    <t>UNC - Charlotte</t>
  </si>
  <si>
    <t>UNC - Asheville</t>
  </si>
  <si>
    <t>UNC - Wilmington</t>
  </si>
  <si>
    <t>North Carolina A&amp;T State University</t>
  </si>
  <si>
    <t>UNC - Pembroke</t>
  </si>
  <si>
    <t>Restatements</t>
  </si>
  <si>
    <t>Restatement</t>
  </si>
  <si>
    <t>Enter Preparer Information:</t>
  </si>
  <si>
    <t>Enter Foundation Name(s):</t>
  </si>
  <si>
    <t xml:space="preserve"> </t>
  </si>
  <si>
    <t xml:space="preserve">Notes payable - capital </t>
  </si>
  <si>
    <t>Notes payable - noncapital</t>
  </si>
  <si>
    <t xml:space="preserve">Bonds payable - capital </t>
  </si>
  <si>
    <t>Bonds payable - noncapital</t>
  </si>
  <si>
    <t>Amount of unspent proceeds - capital debt</t>
  </si>
  <si>
    <t>Amount of unspent proceeds - noncapital debt</t>
  </si>
  <si>
    <t>Less: Capital leases payable</t>
  </si>
  <si>
    <t>Less: Notes payable - capital</t>
  </si>
  <si>
    <t>Less: Bonds payable - capital</t>
  </si>
  <si>
    <t>Add:  Amount of unspent proceeds - capital debt</t>
  </si>
  <si>
    <t>Include the unspent debt proceeds (bonds/notes) related to outstanding capital and noncapital debt as of</t>
  </si>
  <si>
    <t>June 30.  As required by GASB 34, paragraph 33, the unspent portion of bonds and notes payable should</t>
  </si>
  <si>
    <t>has unspent capital debt proceeds at year-end, the portion of the debt attributable to the unspent proceeds</t>
  </si>
  <si>
    <t>Less: Restricted, expendable net assets</t>
  </si>
  <si>
    <t>Less: Restricted, nonexpendable net assets</t>
  </si>
  <si>
    <t>Total net assets per Exhibit A</t>
  </si>
  <si>
    <t>Name of Foundation</t>
  </si>
  <si>
    <r>
      <t xml:space="preserve">Other expenses </t>
    </r>
    <r>
      <rPr>
        <sz val="8"/>
        <rFont val="Arial"/>
        <family val="2"/>
      </rPr>
      <t>(include losses on sale of capital assets)</t>
    </r>
  </si>
  <si>
    <r>
      <t xml:space="preserve">Net assets - beginning of year </t>
    </r>
    <r>
      <rPr>
        <sz val="8"/>
        <rFont val="Arial"/>
        <family val="2"/>
      </rPr>
      <t>(per prior year template)</t>
    </r>
  </si>
  <si>
    <t>(5)</t>
  </si>
  <si>
    <t>Unearned revenue</t>
  </si>
  <si>
    <t>Restricted investments</t>
  </si>
  <si>
    <t>Other investments</t>
  </si>
  <si>
    <t>Less: Restricted property/equipment, nondepreciable</t>
  </si>
  <si>
    <t>Less: Restricted property/equipment, depreciable, net</t>
  </si>
  <si>
    <t>Unrestricted property/equipment, nondepreciable</t>
  </si>
  <si>
    <t>Restricted property/equipment, nondepreciable</t>
  </si>
  <si>
    <t>Unrestricted property/equipment, depreciable, net</t>
  </si>
  <si>
    <t>Restricted property/equipment, depreciable, net</t>
  </si>
  <si>
    <t>reduce the net asset balance of the component that includes the unspent cash.  For example, if a foundation</t>
  </si>
  <si>
    <t>"Unrestricted" under the FASB 117 model).</t>
  </si>
  <si>
    <t>was developed by the North Carolina Office of the State Controller (OSC). This template converts</t>
  </si>
  <si>
    <t>Student tuition and fees recognized by University</t>
  </si>
  <si>
    <r>
      <t xml:space="preserve">Payments to University </t>
    </r>
    <r>
      <rPr>
        <sz val="8"/>
        <rFont val="Arial"/>
        <family val="2"/>
      </rPr>
      <t>(accrual)</t>
    </r>
    <r>
      <rPr>
        <sz val="10"/>
        <rFont val="Arial"/>
        <family val="2"/>
      </rPr>
      <t xml:space="preserve"> - student tuition/fees </t>
    </r>
    <r>
      <rPr>
        <vertAlign val="superscript"/>
        <sz val="10"/>
        <rFont val="Arial"/>
        <family val="2"/>
      </rPr>
      <t>(1)</t>
    </r>
  </si>
  <si>
    <t>Property and equipment should be broken down between amounts that are included in unrestricted net</t>
  </si>
  <si>
    <t>assets and amounts that are included in temporarily restricted net assets on the foundation's balance</t>
  </si>
  <si>
    <t>sheet.  FASB 116 allows not-for-profits the option of recording gifts of capital assets as either unrestricted</t>
  </si>
  <si>
    <t>or temporarily restricted (Note: Under the temporarily restricted option, capital assets are reclassified to</t>
  </si>
  <si>
    <t>unrestricted as the asset is depreciated or over the term of the restriction, if shorter).  This breakdown is</t>
  </si>
  <si>
    <t>(6)</t>
  </si>
  <si>
    <t>needs this breakdown for the elimination entry.</t>
  </si>
  <si>
    <t>payments to universities (per Exhibit B) and the related revenues recognized by universities. OSC</t>
  </si>
  <si>
    <t>Restricted/endowment investments</t>
  </si>
  <si>
    <t>Agency Number</t>
  </si>
  <si>
    <t>UNC School of the Arts</t>
  </si>
  <si>
    <t>NC School of Science and Math</t>
  </si>
  <si>
    <t>All Other Investments</t>
  </si>
  <si>
    <t>(7)</t>
  </si>
  <si>
    <t>Investments with university investment pool should only include amounts invested with the university's</t>
  </si>
  <si>
    <t xml:space="preserve">This breakdown is needed by OSC to reconcile the amounts reported as held by the UNC Investment </t>
  </si>
  <si>
    <r>
      <t xml:space="preserve">With University Investment Pool </t>
    </r>
    <r>
      <rPr>
        <vertAlign val="superscript"/>
        <sz val="10"/>
        <rFont val="Arial"/>
        <family val="2"/>
      </rPr>
      <t>(3)</t>
    </r>
  </si>
  <si>
    <r>
      <t xml:space="preserve">Property and equipment, net </t>
    </r>
    <r>
      <rPr>
        <vertAlign val="superscript"/>
        <sz val="10"/>
        <rFont val="Arial"/>
        <family val="2"/>
      </rPr>
      <t>(4)</t>
    </r>
  </si>
  <si>
    <r>
      <t xml:space="preserve">Payments to University </t>
    </r>
    <r>
      <rPr>
        <b/>
        <sz val="8"/>
        <rFont val="Arial"/>
        <family val="2"/>
      </rPr>
      <t>(accrual)</t>
    </r>
    <r>
      <rPr>
        <b/>
        <sz val="10"/>
        <rFont val="Arial"/>
        <family val="2"/>
      </rPr>
      <t xml:space="preserve"> </t>
    </r>
    <r>
      <rPr>
        <b/>
        <vertAlign val="superscript"/>
        <sz val="10"/>
        <rFont val="Arial"/>
        <family val="2"/>
      </rPr>
      <t>(5)</t>
    </r>
  </si>
  <si>
    <r>
      <t xml:space="preserve">With UNC Investment Fund, LLC </t>
    </r>
    <r>
      <rPr>
        <vertAlign val="superscript"/>
        <sz val="10"/>
        <rFont val="Arial"/>
        <family val="2"/>
      </rPr>
      <t>(2)</t>
    </r>
  </si>
  <si>
    <t>Fund LLC to the amount reported by the foundation.</t>
  </si>
  <si>
    <t>own pool (exclude amounts invested with UNC Investment Fund, LLC).  This breakdown is needed by</t>
  </si>
  <si>
    <t>Select University Number from the drop down list:</t>
  </si>
  <si>
    <r>
      <t xml:space="preserve">The accompanying </t>
    </r>
    <r>
      <rPr>
        <sz val="10"/>
        <color indexed="12"/>
        <rFont val="Arial"/>
        <family val="2"/>
      </rPr>
      <t>"</t>
    </r>
    <r>
      <rPr>
        <i/>
        <sz val="10"/>
        <color indexed="12"/>
        <rFont val="Arial"/>
        <family val="2"/>
      </rPr>
      <t>Foundation Conversion Template - North Carolina Universities"</t>
    </r>
  </si>
  <si>
    <t>beginning net asset balances on Exhibit B and Exhibit E for the current year Foundation template.</t>
  </si>
  <si>
    <t>U. N.C. System</t>
  </si>
  <si>
    <t>University Foundations Combining File</t>
  </si>
  <si>
    <t>U10F</t>
  </si>
  <si>
    <t>U20F</t>
  </si>
  <si>
    <t>U30F</t>
  </si>
  <si>
    <t>U40F</t>
  </si>
  <si>
    <t>U50F</t>
  </si>
  <si>
    <t>U55F</t>
  </si>
  <si>
    <t>U60F</t>
  </si>
  <si>
    <t>U65F</t>
  </si>
  <si>
    <t>U70F</t>
  </si>
  <si>
    <t>U75F</t>
  </si>
  <si>
    <t>U80F</t>
  </si>
  <si>
    <t>U82F</t>
  </si>
  <si>
    <t>U84F</t>
  </si>
  <si>
    <t>U86F</t>
  </si>
  <si>
    <t>U88F</t>
  </si>
  <si>
    <t>U90F</t>
  </si>
  <si>
    <t>U92F</t>
  </si>
  <si>
    <t>87F</t>
  </si>
  <si>
    <t>UNC-GA</t>
  </si>
  <si>
    <t>UNC-Chapel Hill</t>
  </si>
  <si>
    <t>NC State Univ</t>
  </si>
  <si>
    <t>UNC-G</t>
  </si>
  <si>
    <t>UNC-Charlotte</t>
  </si>
  <si>
    <t>UNC-Asheville</t>
  </si>
  <si>
    <t>UNC-W</t>
  </si>
  <si>
    <t>ECU</t>
  </si>
  <si>
    <t>NC A&amp;T Univ</t>
  </si>
  <si>
    <t>WCU</t>
  </si>
  <si>
    <t>ASU</t>
  </si>
  <si>
    <t>UNC-Pembroke</t>
  </si>
  <si>
    <t>WSSU</t>
  </si>
  <si>
    <t>ECSU</t>
  </si>
  <si>
    <t>FSU</t>
  </si>
  <si>
    <t>NCCU</t>
  </si>
  <si>
    <t>NCS Arts</t>
  </si>
  <si>
    <t>NCSSM</t>
  </si>
  <si>
    <r>
      <t xml:space="preserve">Due to the University </t>
    </r>
    <r>
      <rPr>
        <i/>
        <vertAlign val="superscript"/>
        <sz val="10"/>
        <rFont val="Arial"/>
        <family val="2"/>
      </rPr>
      <t>(1)</t>
    </r>
  </si>
  <si>
    <t>GRAND</t>
  </si>
  <si>
    <t>TOTAL</t>
  </si>
  <si>
    <t>Please perform analytical review as needed to ensure current year amounts are reasonable compared to the prior year,</t>
  </si>
  <si>
    <t>OSC does not require any written explanations; the variances are shown as a tool to aid in your own analytical review</t>
  </si>
  <si>
    <t>that amounts are keyed on the correct lines, any unusual or significant variances can be explained, etc.</t>
  </si>
  <si>
    <t>Current Year</t>
  </si>
  <si>
    <t>NC Central Univ</t>
  </si>
  <si>
    <t>NC Sch of Arts</t>
  </si>
  <si>
    <t>Miscellaneous non op revenue</t>
  </si>
  <si>
    <r>
      <t xml:space="preserve">Payments to University - student tuition/fees </t>
    </r>
    <r>
      <rPr>
        <i/>
        <vertAlign val="superscript"/>
        <sz val="10"/>
        <rFont val="Arial"/>
        <family val="2"/>
      </rPr>
      <t>(1)</t>
    </r>
  </si>
  <si>
    <r>
      <t xml:space="preserve">Payments to University - noncapital </t>
    </r>
    <r>
      <rPr>
        <i/>
        <vertAlign val="superscript"/>
        <sz val="10"/>
        <rFont val="Arial"/>
        <family val="2"/>
      </rPr>
      <t>(1)</t>
    </r>
  </si>
  <si>
    <r>
      <t xml:space="preserve">Payments to University - capital </t>
    </r>
    <r>
      <rPr>
        <i/>
        <vertAlign val="superscript"/>
        <sz val="10"/>
        <rFont val="Arial"/>
        <family val="2"/>
      </rPr>
      <t>(1)</t>
    </r>
  </si>
  <si>
    <t>% Change</t>
  </si>
  <si>
    <t>Variance (CY-PY)</t>
  </si>
  <si>
    <t>Prior Year Balance</t>
  </si>
  <si>
    <r>
      <t xml:space="preserve">With Prior Year Balances and Computed Variances </t>
    </r>
    <r>
      <rPr>
        <b/>
        <vertAlign val="superscript"/>
        <sz val="10"/>
        <rFont val="Arial"/>
        <family val="2"/>
      </rPr>
      <t>(2)</t>
    </r>
  </si>
  <si>
    <t>(8)</t>
  </si>
  <si>
    <t>Notes and bonds payable are classified here as capital only if they are used to acquire capital assets for the</t>
  </si>
  <si>
    <r>
      <rPr>
        <b/>
        <sz val="10"/>
        <rFont val="Arial"/>
        <family val="2"/>
      </rPr>
      <t>foundation</t>
    </r>
    <r>
      <rPr>
        <sz val="10"/>
        <rFont val="Arial"/>
        <family val="2"/>
      </rPr>
      <t>, otherwise they are classified here as noncapital.</t>
    </r>
  </si>
  <si>
    <r>
      <t xml:space="preserve">Notes payable </t>
    </r>
    <r>
      <rPr>
        <b/>
        <vertAlign val="superscript"/>
        <sz val="10"/>
        <rFont val="Arial"/>
        <family val="2"/>
      </rPr>
      <t>(8)</t>
    </r>
  </si>
  <si>
    <r>
      <t xml:space="preserve">Bonds payable </t>
    </r>
    <r>
      <rPr>
        <b/>
        <vertAlign val="superscript"/>
        <sz val="10"/>
        <rFont val="Arial"/>
        <family val="2"/>
      </rPr>
      <t>(8)</t>
    </r>
  </si>
  <si>
    <r>
      <t xml:space="preserve">Unspent debt proceeds - notes and bonds </t>
    </r>
    <r>
      <rPr>
        <b/>
        <vertAlign val="superscript"/>
        <sz val="10"/>
        <rFont val="Arial"/>
        <family val="2"/>
      </rPr>
      <t>(6)</t>
    </r>
  </si>
  <si>
    <r>
      <t>Grants payable to the University</t>
    </r>
    <r>
      <rPr>
        <i/>
        <vertAlign val="superscript"/>
        <sz val="9"/>
        <rFont val="Arial"/>
        <family val="2"/>
      </rPr>
      <t xml:space="preserve"> (1)</t>
    </r>
  </si>
  <si>
    <t>Source: OSC Filename: ComboUnivF.xls</t>
  </si>
  <si>
    <t>Lease obligation receivable</t>
  </si>
  <si>
    <t>The "Lease obligation receivable" amount reported by the foundation should agree with the offsetting</t>
  </si>
  <si>
    <t>NET POSITION</t>
  </si>
  <si>
    <t>Net Investment in capital assets</t>
  </si>
  <si>
    <t>Total net position</t>
  </si>
  <si>
    <t>(Assets minus liabilities equals net position)</t>
  </si>
  <si>
    <t>Net position - beginning of year</t>
  </si>
  <si>
    <t>Net position - end of year</t>
  </si>
  <si>
    <t>Increase (decrease) in net position</t>
  </si>
  <si>
    <r>
      <t xml:space="preserve">Automatic Calculations - GASB 63 Categories </t>
    </r>
    <r>
      <rPr>
        <b/>
        <u/>
        <vertAlign val="superscript"/>
        <sz val="10"/>
        <rFont val="Arial"/>
        <family val="2"/>
      </rPr>
      <t>(7)</t>
    </r>
  </si>
  <si>
    <t>Net investment in capital assets</t>
  </si>
  <si>
    <t>Restricted, expendable net position</t>
  </si>
  <si>
    <t>Restricted, expendable net position per Exhibit D</t>
  </si>
  <si>
    <t>Unrestricted net position</t>
  </si>
  <si>
    <t>Unrestricted net position per Exhibit D</t>
  </si>
  <si>
    <t>Less: Net investment in capital assets</t>
  </si>
  <si>
    <t>should not be included in the calculation of "net investment in capital assets".  Rather, that</t>
  </si>
  <si>
    <t>portion of the debt should be included in the same net position component as the unspent proceeds  (i.e.,</t>
  </si>
  <si>
    <t>needed by OSC to properly calculate restricted net position per GASB 34, as amended by GASB 63.</t>
  </si>
  <si>
    <t>Equals "Net Assets/Net position - Beginning of Year" on Exhibit B and Exhibit E</t>
  </si>
  <si>
    <t xml:space="preserve">not expected to have amounts that would need to be reclassified from assets/liabilities to deferred outflows or </t>
  </si>
  <si>
    <t>deferred inflows of resources (e.g., donations/grants transmitted in advance where the only unmet eligibility requirement</t>
  </si>
  <si>
    <t>was a time requirement). If you become aware of assets/liabilities on the template that should be reclassified due to</t>
  </si>
  <si>
    <r>
      <rPr>
        <b/>
        <sz val="10"/>
        <rFont val="Arial"/>
        <family val="2"/>
      </rPr>
      <t>Note:</t>
    </r>
    <r>
      <rPr>
        <sz val="10"/>
        <rFont val="Arial"/>
        <family val="2"/>
      </rPr>
      <t xml:space="preserve"> This template does not include deferred outflows/inflows of resources (per GASB 65). Universities typically are </t>
    </r>
  </si>
  <si>
    <t>items.</t>
  </si>
  <si>
    <t>GASB 65, please contact your OSC analyst. Deferred charges reported in the prior year were reclassified to prepaid</t>
  </si>
  <si>
    <t xml:space="preserve">(FYI:  A university is not required to present cash flows data for a discretely presented component unit within its basic financial statements (GASB </t>
  </si>
  <si>
    <t>Statement 34, paragraph 125; Comprehensive Implementation Guide - 2003, question 2.3).  Therefore, foundation cash flows data is not needed.)</t>
  </si>
  <si>
    <t>Lease Obligation Receivable</t>
  </si>
  <si>
    <t>*</t>
  </si>
  <si>
    <t>Deferred charges reclassified to Prepaid items</t>
  </si>
  <si>
    <t xml:space="preserve">Prepaid items </t>
  </si>
  <si>
    <t>Ending Net Position</t>
  </si>
  <si>
    <t xml:space="preserve">For Reference Only - Updated by OSC </t>
  </si>
  <si>
    <t>For Reference Only - Updated by OSC</t>
  </si>
  <si>
    <t>statement of Activities - FASB 117 Format (1)</t>
  </si>
  <si>
    <t>Due from the University</t>
  </si>
  <si>
    <t>Total foundation receivables from the University should agree with the offsetting amount recorded by the</t>
  </si>
  <si>
    <r>
      <t xml:space="preserve">Lease obligation receivable </t>
    </r>
    <r>
      <rPr>
        <vertAlign val="superscript"/>
        <sz val="8"/>
        <rFont val="Arial"/>
        <family val="2"/>
      </rPr>
      <t>(3)</t>
    </r>
  </si>
  <si>
    <r>
      <t xml:space="preserve">Liabilities </t>
    </r>
    <r>
      <rPr>
        <vertAlign val="superscript"/>
        <sz val="8"/>
        <rFont val="Arial"/>
        <family val="2"/>
      </rPr>
      <t>(4)</t>
    </r>
  </si>
  <si>
    <r>
      <t xml:space="preserve">Grants payable to the University </t>
    </r>
    <r>
      <rPr>
        <vertAlign val="superscript"/>
        <sz val="8"/>
        <rFont val="Arial"/>
        <family val="2"/>
      </rPr>
      <t>(5)</t>
    </r>
  </si>
  <si>
    <t xml:space="preserve">University as "Due to University Component Units".  The only exception is for timing differences for </t>
  </si>
  <si>
    <t>foundation receivables from the University do not equal the offsetting payable recognized by the</t>
  </si>
  <si>
    <t>University, the difference should be reclassified to "Receivables, net".</t>
  </si>
  <si>
    <r>
      <t xml:space="preserve">Due to the University </t>
    </r>
    <r>
      <rPr>
        <vertAlign val="superscript"/>
        <sz val="8"/>
        <rFont val="Arial"/>
        <family val="2"/>
      </rPr>
      <t>(5)</t>
    </r>
  </si>
  <si>
    <t>UNC-P</t>
  </si>
  <si>
    <r>
      <t xml:space="preserve">Due from the University </t>
    </r>
    <r>
      <rPr>
        <vertAlign val="superscript"/>
        <sz val="8"/>
        <rFont val="Arial"/>
        <family val="2"/>
      </rPr>
      <t xml:space="preserve">(2)   </t>
    </r>
  </si>
  <si>
    <t>See Instructions for Updating PY Balances word document</t>
  </si>
  <si>
    <t>To DB File</t>
  </si>
  <si>
    <t>Filename: ComboUnivF.xls</t>
  </si>
  <si>
    <t>Foundation</t>
  </si>
  <si>
    <t>Foundation Plus</t>
  </si>
  <si>
    <t>UNIV Foundations</t>
  </si>
  <si>
    <t>Reclass entry # 3</t>
  </si>
  <si>
    <t>Reclass entry # 4</t>
  </si>
  <si>
    <t>Reclass entries</t>
  </si>
  <si>
    <t>Found Reclass entries</t>
  </si>
  <si>
    <t>IN THOUSANDS</t>
  </si>
  <si>
    <t>Rounding</t>
  </si>
  <si>
    <t>will be eliminated on DB file</t>
  </si>
  <si>
    <t>Reclassification</t>
  </si>
  <si>
    <t>UNC-Wilmington</t>
  </si>
  <si>
    <t>Loss on sale of capital assets</t>
  </si>
  <si>
    <t>Miscellaneous non op exp</t>
  </si>
  <si>
    <r>
      <t xml:space="preserve">Payments to University - student tuition/fees </t>
    </r>
    <r>
      <rPr>
        <i/>
        <vertAlign val="superscript"/>
        <sz val="9"/>
        <rFont val="Arial"/>
        <family val="2"/>
      </rPr>
      <t>(1)</t>
    </r>
  </si>
  <si>
    <t>Note for OSC - Go to PY Univ folder, ComboUnivF file, highlight Net assets end of year, copy, paste special - transpose and values</t>
  </si>
  <si>
    <t>Net Assets Without Donor Restrictions</t>
  </si>
  <si>
    <t>Net Assets With Donor Restrictions</t>
  </si>
  <si>
    <t>private foundations from the FASB 117 format (as amended by FASB Update 2016-14)</t>
  </si>
  <si>
    <r>
      <t xml:space="preserve">Net Position </t>
    </r>
    <r>
      <rPr>
        <b/>
        <vertAlign val="superscript"/>
        <sz val="10"/>
        <rFont val="Arial"/>
        <family val="2"/>
      </rPr>
      <t>(7)</t>
    </r>
  </si>
  <si>
    <t>Permanently Restricted Net Assets</t>
  </si>
  <si>
    <t>Temporarily Restricted Net Assets</t>
  </si>
  <si>
    <t>the amounts from each section should be added together.</t>
  </si>
  <si>
    <t>Also, if separate sections are presented for amounts "Without Donor Restrictions" and "With Donor Restrictions",</t>
  </si>
  <si>
    <t>Temporarily restricted net assets (from above)</t>
  </si>
  <si>
    <t xml:space="preserve">financial statements of private foundations from the FASB 117 format, as amended by FASB Update </t>
  </si>
  <si>
    <t xml:space="preserve">2016-14, to the GASB 34 format (e.g.,breakdown of investments into restricted/other investments, </t>
  </si>
  <si>
    <t xml:space="preserve">long-term debt into current/noncurrent portions, capital assets into depreciable/nondepreciable portions, </t>
  </si>
  <si>
    <t>and gifts and donations into noncapital/capital gifts and additions to endowments).</t>
  </si>
  <si>
    <t>UNC System Office</t>
  </si>
  <si>
    <t>Reclass entry # 1</t>
  </si>
  <si>
    <t>Entry # 2</t>
  </si>
  <si>
    <t>SRJ 2020</t>
  </si>
  <si>
    <t>Updated by SRJ on 1/14/2021</t>
  </si>
  <si>
    <t>located at K:\SASD\20CAFR\Statements\Component\Univ\Prior Year Balances</t>
  </si>
  <si>
    <t>Updated by SRJ on 1/14/2021.</t>
  </si>
  <si>
    <t>If the Foundation's separately issued Statement of Activities includes more than one column, key the amounts from the "Total" column.</t>
  </si>
  <si>
    <r>
      <t xml:space="preserve">On Exhibit A, Net Assets (with OR without donor restrictions) must be broken out into their expendable and nonexpendable portions for GASB-compliant presentation. Restricted Net Position in GASB statements have constraints on the use of resources that are externally enforceable. Restricted net position can include restrictions from grantors and creditors, in addition to donors. Nonexpendable net position is the portion of net assets (with OR without donor restrictions) that is required to be maintained in perpetuity. That is, it must be maintained intact indefinitely. [GASB 34, para. 35, as amended by GASB 63, para. 7-8]. Permanently Restricted Net Assets rolls directly to "Restricted nonexpendable-higher education" on Exhibit D. 
</t>
    </r>
    <r>
      <rPr>
        <b/>
        <sz val="10"/>
        <rFont val="Arial"/>
        <family val="2"/>
      </rPr>
      <t>*If you have any non-donor restricted net assets, please explain them further on the 'Comments' tab of this template. Such restrictions can be related to debt issued by the Foundation or certain restricted grants.*</t>
    </r>
  </si>
  <si>
    <t>before submitting the template. The prior year balances are from the foundation template submitted to OSC.</t>
  </si>
  <si>
    <t>FCCS Entity</t>
  </si>
  <si>
    <t>*Enter FCCS equivalent Entity. Example - U20F</t>
  </si>
  <si>
    <t>FCCS Agency</t>
  </si>
  <si>
    <t>*Enter FCCS equivalent Agency. Example - U200</t>
  </si>
  <si>
    <t>LeaseObRec</t>
  </si>
  <si>
    <t>2127GRNT</t>
  </si>
  <si>
    <t>DueOneYear</t>
  </si>
  <si>
    <t>DueMoreOneYear</t>
  </si>
  <si>
    <t>NetinvestmentCapitalAssets</t>
  </si>
  <si>
    <t>CapProjectsReno</t>
  </si>
  <si>
    <t>NonExpendable</t>
  </si>
  <si>
    <t>Higher Ed</t>
  </si>
  <si>
    <t>Expendable</t>
  </si>
  <si>
    <t>UnRestricted</t>
  </si>
  <si>
    <t>No Function</t>
  </si>
  <si>
    <t>NonCapitalGrants</t>
  </si>
  <si>
    <t>PymtStuTuition</t>
  </si>
  <si>
    <t>PymtNonCapital</t>
  </si>
  <si>
    <t>PymntCapital</t>
  </si>
  <si>
    <t>U100</t>
  </si>
  <si>
    <t>U200</t>
  </si>
  <si>
    <t>U300</t>
  </si>
  <si>
    <t>U400</t>
  </si>
  <si>
    <t>U500</t>
  </si>
  <si>
    <t>U550</t>
  </si>
  <si>
    <t>U600</t>
  </si>
  <si>
    <t>U650</t>
  </si>
  <si>
    <t>U700</t>
  </si>
  <si>
    <t>U750</t>
  </si>
  <si>
    <t>U800</t>
  </si>
  <si>
    <t>U820</t>
  </si>
  <si>
    <t>U840</t>
  </si>
  <si>
    <t>U860</t>
  </si>
  <si>
    <t>U880</t>
  </si>
  <si>
    <t>U900</t>
  </si>
  <si>
    <t>U920</t>
  </si>
  <si>
    <t>8700</t>
  </si>
  <si>
    <t>NCFS Agency</t>
  </si>
  <si>
    <t>NCAS number</t>
  </si>
  <si>
    <t>For the Year Ended June 30, 2022</t>
  </si>
  <si>
    <t>Due Date:  September 12, 2022 -  Thanks!</t>
  </si>
  <si>
    <t>State Fiscal Year June 30, 2022</t>
  </si>
  <si>
    <t>For the State Fiscal Year Ended June 30, 2022</t>
  </si>
  <si>
    <t xml:space="preserve"> to the State's Annual Comprehensive Financial Report (ACFR) format (i.e., GASB 34).</t>
  </si>
  <si>
    <t>Foundation 6/30/21</t>
  </si>
  <si>
    <t>Per ACFR</t>
  </si>
  <si>
    <t>Updated by SRJ 3/31/22</t>
  </si>
  <si>
    <t xml:space="preserve">Each year when the template is updated for the current year's ACFR, the OSC ACFR team enters  the ending net asset </t>
  </si>
  <si>
    <t xml:space="preserve">balances per the prior year ACFR workpapers in to this worksheet.  This is the source for the total </t>
  </si>
  <si>
    <t>Elizabeth Colcord at Elizabeth.Colcord@osc.nc.gov or (919) 707-0526.</t>
  </si>
  <si>
    <t xml:space="preserve">Please upload the template to your entity's Sharepoint Year End ACFR 2022 document </t>
  </si>
  <si>
    <t xml:space="preserve">library. </t>
  </si>
  <si>
    <t>ACFR Adjustments</t>
  </si>
  <si>
    <r>
      <t xml:space="preserve">Analysis - ACFR Format </t>
    </r>
    <r>
      <rPr>
        <b/>
        <u/>
        <vertAlign val="superscript"/>
        <sz val="10"/>
        <rFont val="Arial"/>
        <family val="2"/>
      </rPr>
      <t>(1)</t>
    </r>
  </si>
  <si>
    <t>Elimination Data - ACFR Level</t>
  </si>
  <si>
    <t>The "Analysis - ACFR Format" section provides additional details that are necessary to convert the</t>
  </si>
  <si>
    <t>In the State's ACFR, universities and component unit foundations are presented in a single column.</t>
  </si>
  <si>
    <t>Therefore, to avoid overstating revenues, OSC will make an ACFR level entry to eliminate foundation</t>
  </si>
  <si>
    <t>OSC to reconcile total investments per the university ACFR worksheets to the financial statements.</t>
  </si>
  <si>
    <t>Statement of Net Position - ACFR Format</t>
  </si>
  <si>
    <t>OSC will make an ACFR level entry to eliminate the "grossing-up" of assets and liabilities between</t>
  </si>
  <si>
    <t>Statement of Activities - ACFR Format</t>
  </si>
  <si>
    <t>OSC will make an ACFR level entry to eliminate the "grossing-up" of revenues and expenses between</t>
  </si>
  <si>
    <t>lease payable amount reported by the university on ACFR Worksheet 301 ("University Foundations" column).</t>
  </si>
  <si>
    <t>Revised 5/12/22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</si>
</sst>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3" formatCode="_(* #,##0.00_);_(* \(#,##0.00\);_(* &quot;-&quot;??_);_(@_)"/>
    <numFmt numFmtId="164" formatCode="mm/dd/yy"/>
    <numFmt numFmtId="165" formatCode="#,##0.00_);\(#,##0.00\);* \ \-\ \ \ \ \ "/>
    <numFmt numFmtId="166" formatCode="* #,###\ ;* \(#,###\);* \-\ \ \ \ \ \ "/>
    <numFmt numFmtId="167" formatCode="&quot;$&quot;* #,###\ ;&quot;$&quot;* \(#,###\);&quot;$&quot;* \-\ \ \ \ \ \ "/>
    <numFmt numFmtId="168" formatCode="* #,###\ ;* \(#,###\);\ \ @*."/>
    <numFmt numFmtId="169" formatCode="* #,###\ ;* \(#,###\);@*."/>
    <numFmt numFmtId="170" formatCode="mmmm\ d\,\ yyyy"/>
    <numFmt numFmtId="171" formatCode="0.00%\ ;\(0.00\)%"/>
    <numFmt numFmtId="172" formatCode="#,##0.00_);\(#,##0.00\);\—\ \ \ \ \ \ "/>
    <numFmt numFmtId="173" formatCode="_(* #,##0_);_(* \(#,##0\);_(* &quot;-&quot;??_);_(@_)"/>
  </numFmts>
  <fonts count="61" x14ac:knownFonts="1">
    <font>
      <sz val="10"/>
      <name val="Arial"/>
    </font>
    <font>
      <sz val="10"/>
      <name val="Arial"/>
      <family val="2"/>
    </font>
    <font>
      <b/>
      <sz val="10"/>
      <name val="Arial"/>
      <family val="2"/>
    </font>
    <font>
      <sz val="12"/>
      <name val="Arial"/>
      <family val="2"/>
    </font>
    <font>
      <sz val="10"/>
      <name val="Arial"/>
      <family val="2"/>
    </font>
    <font>
      <u/>
      <sz val="10"/>
      <name val="Arial"/>
      <family val="2"/>
    </font>
    <font>
      <i/>
      <sz val="10"/>
      <name val="Arial"/>
      <family val="2"/>
    </font>
    <font>
      <b/>
      <vertAlign val="superscript"/>
      <sz val="10"/>
      <name val="Arial"/>
      <family val="2"/>
    </font>
    <font>
      <sz val="8"/>
      <name val="Arial"/>
      <family val="2"/>
    </font>
    <font>
      <b/>
      <sz val="10"/>
      <color indexed="12"/>
      <name val="Arial"/>
      <family val="2"/>
    </font>
    <font>
      <vertAlign val="superscript"/>
      <sz val="10"/>
      <name val="Arial"/>
      <family val="2"/>
    </font>
    <font>
      <b/>
      <sz val="12"/>
      <name val="Arial"/>
      <family val="2"/>
    </font>
    <font>
      <i/>
      <sz val="10"/>
      <color indexed="12"/>
      <name val="Arial"/>
      <family val="2"/>
    </font>
    <font>
      <b/>
      <u/>
      <sz val="10"/>
      <name val="Arial"/>
      <family val="2"/>
    </font>
    <font>
      <b/>
      <sz val="11"/>
      <name val="Arial"/>
      <family val="2"/>
    </font>
    <font>
      <b/>
      <sz val="9"/>
      <color indexed="12"/>
      <name val="Arial"/>
      <family val="2"/>
    </font>
    <font>
      <sz val="9"/>
      <name val="Arial"/>
      <family val="2"/>
    </font>
    <font>
      <b/>
      <u/>
      <vertAlign val="superscript"/>
      <sz val="10"/>
      <name val="Arial"/>
      <family val="2"/>
    </font>
    <font>
      <b/>
      <sz val="8"/>
      <name val="Arial"/>
      <family val="2"/>
    </font>
    <font>
      <sz val="8"/>
      <name val="Arial"/>
      <family val="2"/>
    </font>
    <font>
      <i/>
      <sz val="10"/>
      <name val="Arial"/>
      <family val="2"/>
    </font>
    <font>
      <sz val="12"/>
      <name val="Book Antiqua"/>
      <family val="1"/>
    </font>
    <font>
      <b/>
      <sz val="12"/>
      <name val="Book Antiqua"/>
      <family val="1"/>
    </font>
    <font>
      <sz val="10"/>
      <name val="Book Antiqua"/>
      <family val="1"/>
    </font>
    <font>
      <sz val="10"/>
      <name val="Arial Narrow"/>
      <family val="2"/>
    </font>
    <font>
      <sz val="12"/>
      <name val="Times New Roman"/>
      <family val="1"/>
    </font>
    <font>
      <b/>
      <sz val="10"/>
      <name val="Times New Roman"/>
      <family val="1"/>
    </font>
    <font>
      <sz val="8"/>
      <name val="Times New Roman"/>
      <family val="1"/>
    </font>
    <font>
      <sz val="10"/>
      <name val="Times New Roman"/>
      <family val="1"/>
    </font>
    <font>
      <sz val="10"/>
      <color indexed="12"/>
      <name val="Arial"/>
      <family val="2"/>
    </font>
    <font>
      <sz val="10"/>
      <color indexed="12"/>
      <name val="Arial"/>
      <family val="2"/>
    </font>
    <font>
      <b/>
      <sz val="10"/>
      <color indexed="10"/>
      <name val="Arial"/>
      <family val="2"/>
    </font>
    <font>
      <b/>
      <sz val="8"/>
      <name val="Arial"/>
      <family val="2"/>
    </font>
    <font>
      <vertAlign val="superscript"/>
      <sz val="8"/>
      <name val="Arial"/>
      <family val="2"/>
    </font>
    <font>
      <i/>
      <sz val="8"/>
      <name val="Arial"/>
      <family val="2"/>
    </font>
    <font>
      <b/>
      <sz val="8"/>
      <color indexed="12"/>
      <name val="Arial"/>
      <family val="2"/>
    </font>
    <font>
      <u val="singleAccounting"/>
      <sz val="8"/>
      <name val="Arial"/>
      <family val="2"/>
    </font>
    <font>
      <sz val="8"/>
      <name val="Arial Narrow"/>
      <family val="2"/>
    </font>
    <font>
      <b/>
      <sz val="8"/>
      <name val="Arial Narrow"/>
      <family val="2"/>
    </font>
    <font>
      <b/>
      <sz val="8"/>
      <color indexed="10"/>
      <name val="Arial"/>
      <family val="2"/>
    </font>
    <font>
      <i/>
      <vertAlign val="superscript"/>
      <sz val="10"/>
      <name val="Arial"/>
      <family val="2"/>
    </font>
    <font>
      <i/>
      <sz val="8"/>
      <name val="Arial Narrow"/>
      <family val="2"/>
    </font>
    <font>
      <i/>
      <sz val="9"/>
      <name val="Arial"/>
      <family val="2"/>
    </font>
    <font>
      <i/>
      <vertAlign val="superscript"/>
      <sz val="9"/>
      <name val="Arial"/>
      <family val="2"/>
    </font>
    <font>
      <sz val="8"/>
      <name val="Arial"/>
      <family val="2"/>
    </font>
    <font>
      <sz val="8"/>
      <color rgb="FF000080"/>
      <name val="Arial Narrow"/>
      <family val="2"/>
    </font>
    <font>
      <b/>
      <sz val="10"/>
      <color rgb="FF0000FF"/>
      <name val="Arial"/>
      <family val="2"/>
    </font>
    <font>
      <sz val="8"/>
      <color rgb="FFFF0000"/>
      <name val="Arial"/>
      <family val="2"/>
    </font>
    <font>
      <sz val="10"/>
      <color rgb="FFFF0000"/>
      <name val="Arial"/>
      <family val="2"/>
    </font>
    <font>
      <b/>
      <sz val="10"/>
      <color rgb="FFFF0000"/>
      <name val="Arial"/>
      <family val="2"/>
    </font>
    <font>
      <b/>
      <u/>
      <sz val="8"/>
      <name val="Arial Narrow"/>
      <family val="2"/>
    </font>
    <font>
      <b/>
      <u val="singleAccounting"/>
      <sz val="8"/>
      <name val="Arial"/>
      <family val="2"/>
    </font>
    <font>
      <b/>
      <sz val="8"/>
      <color rgb="FFFF0000"/>
      <name val="Arial Narrow"/>
      <family val="2"/>
    </font>
    <font>
      <b/>
      <u val="singleAccounting"/>
      <sz val="8"/>
      <name val="Arial Narrow"/>
      <family val="2"/>
    </font>
    <font>
      <sz val="8"/>
      <color indexed="14"/>
      <name val="Arial Narrow"/>
      <family val="2"/>
    </font>
    <font>
      <sz val="8"/>
      <color indexed="8"/>
      <name val="Arial Narrow"/>
      <family val="2"/>
    </font>
    <font>
      <b/>
      <sz val="9"/>
      <color rgb="FFFF0000"/>
      <name val="Arial"/>
      <family val="2"/>
    </font>
    <font>
      <sz val="8"/>
      <color theme="0"/>
      <name val="Arial"/>
      <family val="2"/>
    </font>
    <font>
      <sz val="11"/>
      <name val="Calibri"/>
      <family val="2"/>
    </font>
    <font>
      <b/>
      <sz val="10"/>
      <color rgb="FF0066FF"/>
      <name val="Arial"/>
      <family val="2"/>
    </font>
    <font>
      <sz val="10"/>
      <color rgb="FF0066FF"/>
      <name val="Arial"/>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9CCFF"/>
        <bgColor indexed="64"/>
      </patternFill>
    </fill>
    <fill>
      <patternFill patternType="solid">
        <fgColor theme="0" tint="-0.249977111117893"/>
        <bgColor indexed="64"/>
      </patternFill>
    </fill>
    <fill>
      <patternFill patternType="solid">
        <fgColor theme="9" tint="0.39997558519241921"/>
        <bgColor indexed="64"/>
      </patternFill>
    </fill>
  </fills>
  <borders count="9">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43" fontId="1" fillId="0" borderId="0" applyFont="0" applyFill="0" applyBorder="0" applyAlignment="0" applyProtection="0"/>
    <xf numFmtId="0" fontId="20" fillId="0" borderId="1">
      <alignment horizontal="right"/>
      <protection locked="0"/>
    </xf>
    <xf numFmtId="0" fontId="21" fillId="0" borderId="2" applyBorder="0">
      <protection locked="0"/>
    </xf>
    <xf numFmtId="0" fontId="22" fillId="0" borderId="0">
      <protection locked="0"/>
    </xf>
    <xf numFmtId="15" fontId="23" fillId="0" borderId="1" applyNumberFormat="0" applyBorder="0">
      <protection locked="0"/>
    </xf>
    <xf numFmtId="166" fontId="44" fillId="0" borderId="0">
      <protection locked="0"/>
    </xf>
    <xf numFmtId="166" fontId="8" fillId="0" borderId="0">
      <protection locked="0"/>
    </xf>
    <xf numFmtId="166" fontId="19" fillId="0" borderId="0">
      <protection locked="0"/>
    </xf>
    <xf numFmtId="167" fontId="19" fillId="0" borderId="0">
      <protection locked="0"/>
    </xf>
    <xf numFmtId="166" fontId="19" fillId="0" borderId="0">
      <protection locked="0"/>
    </xf>
    <xf numFmtId="167" fontId="19" fillId="0" borderId="3">
      <protection locked="0"/>
    </xf>
    <xf numFmtId="166" fontId="19" fillId="0" borderId="4">
      <protection locked="0"/>
    </xf>
    <xf numFmtId="165" fontId="19" fillId="0" borderId="0"/>
    <xf numFmtId="165" fontId="8" fillId="0" borderId="0"/>
    <xf numFmtId="165" fontId="19" fillId="0" borderId="3"/>
    <xf numFmtId="165" fontId="8" fillId="0" borderId="3"/>
    <xf numFmtId="165" fontId="19" fillId="0" borderId="4"/>
    <xf numFmtId="165" fontId="8" fillId="0" borderId="4"/>
  </cellStyleXfs>
  <cellXfs count="323">
    <xf numFmtId="0" fontId="0" fillId="0" borderId="0" xfId="0"/>
    <xf numFmtId="0" fontId="2" fillId="0" borderId="0" xfId="0" applyFont="1"/>
    <xf numFmtId="0" fontId="0" fillId="0" borderId="0" xfId="0" applyAlignment="1">
      <alignment horizontal="left" indent="2"/>
    </xf>
    <xf numFmtId="0" fontId="0" fillId="0" borderId="0" xfId="0" applyAlignment="1">
      <alignment horizontal="left" indent="1"/>
    </xf>
    <xf numFmtId="0" fontId="0" fillId="0" borderId="1" xfId="0" applyBorder="1" applyAlignment="1">
      <alignment horizontal="center"/>
    </xf>
    <xf numFmtId="0" fontId="3" fillId="0" borderId="0" xfId="0" applyFont="1"/>
    <xf numFmtId="41" fontId="0" fillId="0" borderId="0" xfId="1" applyNumberFormat="1" applyFont="1"/>
    <xf numFmtId="41" fontId="0" fillId="0" borderId="1" xfId="1" applyNumberFormat="1" applyFont="1" applyBorder="1"/>
    <xf numFmtId="41" fontId="0" fillId="0" borderId="4" xfId="1" applyNumberFormat="1" applyFont="1" applyBorder="1"/>
    <xf numFmtId="42" fontId="0" fillId="0" borderId="0" xfId="1" applyNumberFormat="1" applyFont="1"/>
    <xf numFmtId="41" fontId="0" fillId="0" borderId="1" xfId="0" applyNumberFormat="1" applyBorder="1"/>
    <xf numFmtId="42" fontId="0" fillId="0" borderId="3" xfId="0" applyNumberFormat="1" applyBorder="1"/>
    <xf numFmtId="41" fontId="0" fillId="0" borderId="0" xfId="0" applyNumberFormat="1"/>
    <xf numFmtId="0" fontId="4" fillId="0" borderId="0" xfId="0" applyFont="1"/>
    <xf numFmtId="0" fontId="4" fillId="0" borderId="0" xfId="0" applyFont="1" applyAlignment="1">
      <alignment horizontal="left" indent="1"/>
    </xf>
    <xf numFmtId="0" fontId="0" fillId="2" borderId="0" xfId="0" applyFill="1"/>
    <xf numFmtId="0" fontId="2" fillId="2" borderId="0" xfId="0" applyFont="1" applyFill="1" applyAlignment="1">
      <alignment horizontal="left"/>
    </xf>
    <xf numFmtId="0" fontId="0" fillId="2" borderId="0" xfId="0" applyFill="1" applyAlignment="1">
      <alignment horizontal="left" indent="1"/>
    </xf>
    <xf numFmtId="0" fontId="0" fillId="2" borderId="0" xfId="0" applyFill="1" applyAlignment="1">
      <alignment horizontal="left" indent="2"/>
    </xf>
    <xf numFmtId="41" fontId="0" fillId="2" borderId="0" xfId="0" applyNumberFormat="1" applyFill="1"/>
    <xf numFmtId="41" fontId="0" fillId="2" borderId="1" xfId="0" applyNumberFormat="1" applyFill="1" applyBorder="1"/>
    <xf numFmtId="41" fontId="0" fillId="2" borderId="4" xfId="0" applyNumberFormat="1" applyFill="1" applyBorder="1"/>
    <xf numFmtId="41" fontId="0" fillId="0" borderId="4" xfId="0" applyNumberFormat="1" applyBorder="1"/>
    <xf numFmtId="0" fontId="2" fillId="2" borderId="0" xfId="0" applyFont="1" applyFill="1"/>
    <xf numFmtId="0" fontId="6" fillId="0" borderId="0" xfId="0" applyFont="1"/>
    <xf numFmtId="0" fontId="0" fillId="0" borderId="0" xfId="0" applyAlignment="1">
      <alignment horizontal="left" indent="3"/>
    </xf>
    <xf numFmtId="0" fontId="5" fillId="0" borderId="0" xfId="0" applyFont="1"/>
    <xf numFmtId="0" fontId="0" fillId="0" borderId="0" xfId="0" applyAlignment="1">
      <alignment horizontal="left"/>
    </xf>
    <xf numFmtId="0" fontId="0" fillId="0" borderId="0" xfId="0" applyAlignment="1">
      <alignment horizontal="center"/>
    </xf>
    <xf numFmtId="0" fontId="4" fillId="0" borderId="0" xfId="0" applyFont="1" applyAlignment="1">
      <alignment horizontal="center"/>
    </xf>
    <xf numFmtId="42" fontId="0" fillId="0" borderId="0" xfId="0" applyNumberFormat="1"/>
    <xf numFmtId="0" fontId="5" fillId="2" borderId="0" xfId="0" applyFont="1" applyFill="1" applyAlignment="1">
      <alignment horizontal="left"/>
    </xf>
    <xf numFmtId="42" fontId="0" fillId="2" borderId="0" xfId="0" applyNumberFormat="1" applyFill="1"/>
    <xf numFmtId="0" fontId="4" fillId="0" borderId="0" xfId="0" quotePrefix="1" applyFont="1"/>
    <xf numFmtId="0" fontId="2" fillId="0" borderId="0" xfId="0" applyFont="1" applyAlignment="1">
      <alignment horizontal="right"/>
    </xf>
    <xf numFmtId="0" fontId="8" fillId="0" borderId="0" xfId="0" applyFont="1"/>
    <xf numFmtId="0" fontId="8" fillId="0" borderId="0" xfId="0" applyFont="1" applyAlignment="1">
      <alignment horizontal="center"/>
    </xf>
    <xf numFmtId="0" fontId="8" fillId="0" borderId="0" xfId="0" quotePrefix="1" applyFont="1" applyAlignment="1">
      <alignment horizontal="center"/>
    </xf>
    <xf numFmtId="0" fontId="9" fillId="0" borderId="0" xfId="0" applyFont="1" applyAlignment="1">
      <alignment horizontal="center"/>
    </xf>
    <xf numFmtId="41" fontId="0" fillId="0" borderId="4" xfId="0" applyNumberFormat="1" applyBorder="1" applyAlignment="1">
      <alignment horizontal="center"/>
    </xf>
    <xf numFmtId="0" fontId="0" fillId="0" borderId="0" xfId="0" quotePrefix="1" applyAlignment="1">
      <alignment horizontal="center"/>
    </xf>
    <xf numFmtId="0" fontId="11" fillId="0" borderId="0" xfId="0" applyFont="1" applyAlignment="1">
      <alignment horizontal="center"/>
    </xf>
    <xf numFmtId="0" fontId="13" fillId="0" borderId="0" xfId="0" applyFont="1" applyAlignment="1">
      <alignment horizontal="center"/>
    </xf>
    <xf numFmtId="15" fontId="11" fillId="0" borderId="0" xfId="0" quotePrefix="1" applyNumberFormat="1" applyFont="1" applyAlignment="1">
      <alignment horizontal="center"/>
    </xf>
    <xf numFmtId="15" fontId="2" fillId="0" borderId="0" xfId="0" quotePrefix="1" applyNumberFormat="1" applyFont="1" applyAlignment="1">
      <alignment horizontal="center"/>
    </xf>
    <xf numFmtId="0" fontId="8" fillId="0" borderId="1" xfId="0" applyFont="1" applyBorder="1" applyAlignment="1">
      <alignment horizontal="center"/>
    </xf>
    <xf numFmtId="15" fontId="3" fillId="0" borderId="0" xfId="0" quotePrefix="1" applyNumberFormat="1" applyFont="1" applyAlignment="1">
      <alignment horizontal="center"/>
    </xf>
    <xf numFmtId="0" fontId="15" fillId="0" borderId="0" xfId="0" applyFont="1" applyAlignment="1">
      <alignment horizontal="center"/>
    </xf>
    <xf numFmtId="0" fontId="16" fillId="0" borderId="0" xfId="0" applyFont="1"/>
    <xf numFmtId="0" fontId="16" fillId="0" borderId="0" xfId="0" applyFont="1" applyAlignment="1">
      <alignment horizontal="center"/>
    </xf>
    <xf numFmtId="0" fontId="2" fillId="0" borderId="0" xfId="0" applyFont="1" applyAlignment="1">
      <alignment horizontal="center"/>
    </xf>
    <xf numFmtId="0" fontId="0" fillId="0" borderId="0" xfId="0" quotePrefix="1"/>
    <xf numFmtId="0" fontId="0" fillId="3" borderId="0" xfId="0" applyFill="1" applyAlignment="1" applyProtection="1">
      <alignment horizontal="left"/>
      <protection locked="0"/>
    </xf>
    <xf numFmtId="42" fontId="0" fillId="0" borderId="0" xfId="1" applyNumberFormat="1" applyFont="1" applyProtection="1">
      <protection locked="0"/>
    </xf>
    <xf numFmtId="41" fontId="0" fillId="0" borderId="0" xfId="1" applyNumberFormat="1" applyFont="1" applyProtection="1">
      <protection locked="0"/>
    </xf>
    <xf numFmtId="41" fontId="0" fillId="0" borderId="1" xfId="1" applyNumberFormat="1" applyFont="1" applyBorder="1" applyProtection="1">
      <protection locked="0"/>
    </xf>
    <xf numFmtId="41" fontId="0" fillId="0" borderId="0" xfId="0" applyNumberFormat="1" applyProtection="1">
      <protection locked="0"/>
    </xf>
    <xf numFmtId="41" fontId="0" fillId="0" borderId="1" xfId="0" applyNumberFormat="1" applyBorder="1" applyProtection="1">
      <protection locked="0"/>
    </xf>
    <xf numFmtId="164" fontId="0" fillId="0" borderId="1" xfId="0" applyNumberFormat="1" applyBorder="1" applyAlignment="1" applyProtection="1">
      <alignment horizontal="center"/>
      <protection locked="0"/>
    </xf>
    <xf numFmtId="0" fontId="4" fillId="0" borderId="0" xfId="0" applyFont="1" applyAlignment="1">
      <alignment horizontal="left" indent="2"/>
    </xf>
    <xf numFmtId="0" fontId="14" fillId="0" borderId="0" xfId="0" applyFont="1" applyAlignment="1">
      <alignment horizontal="center"/>
    </xf>
    <xf numFmtId="0" fontId="0" fillId="3" borderId="0" xfId="0" quotePrefix="1" applyFill="1" applyAlignment="1" applyProtection="1">
      <alignment horizontal="left"/>
      <protection locked="0"/>
    </xf>
    <xf numFmtId="0" fontId="2" fillId="3" borderId="0" xfId="0" applyFont="1" applyFill="1" applyAlignment="1">
      <alignment horizontal="left"/>
    </xf>
    <xf numFmtId="0" fontId="4" fillId="0" borderId="0" xfId="0" applyFont="1" applyAlignment="1">
      <alignment horizontal="left"/>
    </xf>
    <xf numFmtId="166" fontId="19" fillId="0" borderId="0" xfId="8" applyProtection="1"/>
    <xf numFmtId="166" fontId="24" fillId="0" borderId="0" xfId="8" applyFont="1" applyProtection="1"/>
    <xf numFmtId="4" fontId="19" fillId="0" borderId="0" xfId="8" applyNumberFormat="1" applyProtection="1"/>
    <xf numFmtId="49" fontId="25" fillId="0" borderId="0" xfId="0" applyNumberFormat="1" applyFont="1"/>
    <xf numFmtId="0" fontId="25" fillId="0" borderId="0" xfId="0" applyFont="1"/>
    <xf numFmtId="166" fontId="26" fillId="0" borderId="0" xfId="8" applyFont="1" applyAlignment="1" applyProtection="1">
      <alignment horizontal="center"/>
    </xf>
    <xf numFmtId="166" fontId="26" fillId="0" borderId="1" xfId="8" applyFont="1" applyBorder="1" applyAlignment="1" applyProtection="1">
      <alignment horizontal="center"/>
    </xf>
    <xf numFmtId="4" fontId="26" fillId="0" borderId="0" xfId="8" applyNumberFormat="1" applyFont="1" applyAlignment="1" applyProtection="1">
      <alignment horizontal="center"/>
    </xf>
    <xf numFmtId="4" fontId="26" fillId="0" borderId="1" xfId="8" applyNumberFormat="1" applyFont="1" applyBorder="1" applyAlignment="1" applyProtection="1">
      <alignment horizontal="center"/>
    </xf>
    <xf numFmtId="166" fontId="27" fillId="0" borderId="0" xfId="8" applyFont="1" applyProtection="1"/>
    <xf numFmtId="166" fontId="28" fillId="0" borderId="0" xfId="8" applyFont="1" applyProtection="1"/>
    <xf numFmtId="0" fontId="30" fillId="0" borderId="0" xfId="0" applyFont="1" applyAlignment="1">
      <alignment horizontal="left"/>
    </xf>
    <xf numFmtId="41" fontId="29" fillId="4" borderId="0" xfId="1" applyNumberFormat="1" applyFont="1" applyFill="1"/>
    <xf numFmtId="0" fontId="31" fillId="0" borderId="0" xfId="0" applyFont="1" applyAlignment="1">
      <alignment horizontal="right"/>
    </xf>
    <xf numFmtId="0" fontId="19" fillId="0" borderId="0" xfId="0" applyFont="1"/>
    <xf numFmtId="0" fontId="32" fillId="0" borderId="0" xfId="0" applyFont="1"/>
    <xf numFmtId="0" fontId="19" fillId="0" borderId="0" xfId="0" applyFont="1" applyAlignment="1">
      <alignment horizontal="center"/>
    </xf>
    <xf numFmtId="42" fontId="19" fillId="0" borderId="0" xfId="1" applyNumberFormat="1" applyFont="1" applyProtection="1">
      <protection locked="0"/>
    </xf>
    <xf numFmtId="42" fontId="19" fillId="0" borderId="0" xfId="1" applyNumberFormat="1" applyFont="1"/>
    <xf numFmtId="41" fontId="19" fillId="0" borderId="0" xfId="1" applyNumberFormat="1" applyFont="1" applyProtection="1">
      <protection locked="0"/>
    </xf>
    <xf numFmtId="41" fontId="19" fillId="0" borderId="0" xfId="1" applyNumberFormat="1" applyFont="1"/>
    <xf numFmtId="0" fontId="19" fillId="0" borderId="0" xfId="0" quotePrefix="1" applyFont="1" applyAlignment="1">
      <alignment horizontal="center"/>
    </xf>
    <xf numFmtId="41" fontId="19" fillId="0" borderId="1" xfId="1" applyNumberFormat="1" applyFont="1" applyBorder="1" applyProtection="1">
      <protection locked="0"/>
    </xf>
    <xf numFmtId="41" fontId="19" fillId="0" borderId="1" xfId="1" applyNumberFormat="1" applyFont="1" applyBorder="1"/>
    <xf numFmtId="0" fontId="19" fillId="0" borderId="0" xfId="0" applyFont="1" applyAlignment="1">
      <alignment horizontal="left" indent="2"/>
    </xf>
    <xf numFmtId="41" fontId="19" fillId="0" borderId="4" xfId="1" applyNumberFormat="1" applyFont="1" applyBorder="1"/>
    <xf numFmtId="42" fontId="19" fillId="0" borderId="3" xfId="1" applyNumberFormat="1" applyFont="1" applyBorder="1"/>
    <xf numFmtId="0" fontId="34" fillId="0" borderId="0" xfId="0" applyFont="1"/>
    <xf numFmtId="0" fontId="35" fillId="0" borderId="0" xfId="0" applyFont="1" applyAlignment="1">
      <alignment horizontal="center"/>
    </xf>
    <xf numFmtId="164" fontId="0" fillId="0" borderId="0" xfId="0" applyNumberFormat="1" applyAlignment="1" applyProtection="1">
      <alignment horizontal="center"/>
      <protection locked="0"/>
    </xf>
    <xf numFmtId="0" fontId="2" fillId="0" borderId="0" xfId="0" applyFont="1" applyAlignment="1">
      <alignment horizontal="left"/>
    </xf>
    <xf numFmtId="0" fontId="0" fillId="0" borderId="0" xfId="0" applyProtection="1">
      <protection locked="0"/>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173" fontId="4" fillId="0" borderId="3" xfId="1" applyNumberFormat="1" applyFont="1" applyBorder="1"/>
    <xf numFmtId="0" fontId="4" fillId="3" borderId="0" xfId="0" applyFont="1" applyFill="1" applyAlignment="1" applyProtection="1">
      <alignment horizontal="left"/>
      <protection locked="0"/>
    </xf>
    <xf numFmtId="0" fontId="2" fillId="6" borderId="5" xfId="0" applyFont="1" applyFill="1" applyBorder="1"/>
    <xf numFmtId="0" fontId="4" fillId="0" borderId="0" xfId="0" applyFont="1" applyProtection="1">
      <protection locked="0"/>
    </xf>
    <xf numFmtId="173" fontId="4" fillId="0" borderId="0" xfId="1" applyNumberFormat="1" applyFont="1"/>
    <xf numFmtId="166" fontId="8" fillId="0" borderId="0" xfId="8" applyFont="1" applyProtection="1"/>
    <xf numFmtId="166" fontId="36" fillId="0" borderId="0" xfId="8" applyFont="1" applyProtection="1"/>
    <xf numFmtId="1" fontId="37" fillId="0" borderId="0" xfId="0" applyNumberFormat="1" applyFont="1" applyAlignment="1">
      <alignment horizontal="center"/>
    </xf>
    <xf numFmtId="166" fontId="37" fillId="0" borderId="0" xfId="0" applyNumberFormat="1" applyFont="1"/>
    <xf numFmtId="166" fontId="18" fillId="0" borderId="0" xfId="0" applyNumberFormat="1" applyFont="1" applyAlignment="1">
      <alignment horizontal="center"/>
    </xf>
    <xf numFmtId="166" fontId="38" fillId="0" borderId="0" xfId="0" applyNumberFormat="1" applyFont="1" applyAlignment="1">
      <alignment horizontal="center"/>
    </xf>
    <xf numFmtId="1" fontId="38" fillId="0" borderId="0" xfId="0" applyNumberFormat="1" applyFont="1" applyAlignment="1">
      <alignment horizontal="center"/>
    </xf>
    <xf numFmtId="166" fontId="18" fillId="5" borderId="0" xfId="0" applyNumberFormat="1" applyFont="1" applyFill="1" applyAlignment="1">
      <alignment horizontal="center"/>
    </xf>
    <xf numFmtId="166" fontId="2" fillId="0" borderId="0" xfId="0" applyNumberFormat="1" applyFont="1" applyAlignment="1">
      <alignment horizontal="center"/>
    </xf>
    <xf numFmtId="170" fontId="18" fillId="0" borderId="0" xfId="0" applyNumberFormat="1" applyFont="1" applyAlignment="1">
      <alignment horizontal="center"/>
    </xf>
    <xf numFmtId="165" fontId="38" fillId="0" borderId="0" xfId="13" applyFont="1" applyAlignment="1">
      <alignment horizontal="center"/>
    </xf>
    <xf numFmtId="165" fontId="39" fillId="0" borderId="0" xfId="13" applyFont="1" applyAlignment="1">
      <alignment horizontal="center"/>
    </xf>
    <xf numFmtId="166" fontId="38" fillId="0" borderId="1" xfId="0" applyNumberFormat="1" applyFont="1" applyBorder="1" applyAlignment="1">
      <alignment horizontal="center"/>
    </xf>
    <xf numFmtId="169" fontId="37" fillId="0" borderId="0" xfId="0" applyNumberFormat="1" applyFont="1"/>
    <xf numFmtId="169" fontId="37" fillId="0" borderId="0" xfId="0" applyNumberFormat="1" applyFont="1" applyAlignment="1">
      <alignment horizontal="left"/>
    </xf>
    <xf numFmtId="166" fontId="37" fillId="0" borderId="0" xfId="0" applyNumberFormat="1" applyFont="1" applyAlignment="1">
      <alignment horizontal="left"/>
    </xf>
    <xf numFmtId="168" fontId="37" fillId="0" borderId="0" xfId="0" applyNumberFormat="1" applyFont="1"/>
    <xf numFmtId="165" fontId="37" fillId="0" borderId="0" xfId="13" applyFont="1"/>
    <xf numFmtId="168" fontId="41" fillId="5" borderId="0" xfId="0" applyNumberFormat="1" applyFont="1" applyFill="1" applyAlignment="1">
      <alignment horizontal="left"/>
    </xf>
    <xf numFmtId="168" fontId="37" fillId="0" borderId="0" xfId="0" applyNumberFormat="1" applyFont="1" applyAlignment="1">
      <alignment horizontal="left"/>
    </xf>
    <xf numFmtId="165" fontId="37" fillId="0" borderId="1" xfId="13" applyFont="1" applyBorder="1"/>
    <xf numFmtId="165" fontId="37" fillId="0" borderId="0" xfId="0" applyNumberFormat="1" applyFont="1"/>
    <xf numFmtId="165" fontId="38" fillId="0" borderId="0" xfId="0" applyNumberFormat="1" applyFont="1" applyAlignment="1">
      <alignment horizontal="center"/>
    </xf>
    <xf numFmtId="165" fontId="38" fillId="0" borderId="1" xfId="0" applyNumberFormat="1" applyFont="1" applyBorder="1" applyAlignment="1">
      <alignment horizontal="center"/>
    </xf>
    <xf numFmtId="165" fontId="37" fillId="0" borderId="1" xfId="0" applyNumberFormat="1" applyFont="1" applyBorder="1"/>
    <xf numFmtId="165" fontId="41" fillId="5" borderId="0" xfId="0" applyNumberFormat="1" applyFont="1" applyFill="1"/>
    <xf numFmtId="0" fontId="2" fillId="0" borderId="0" xfId="0" quotePrefix="1" applyFont="1"/>
    <xf numFmtId="171" fontId="45" fillId="0" borderId="0" xfId="0" applyNumberFormat="1" applyFont="1"/>
    <xf numFmtId="0" fontId="4" fillId="0" borderId="1" xfId="0" applyFont="1" applyBorder="1"/>
    <xf numFmtId="172" fontId="45" fillId="0" borderId="0" xfId="0" applyNumberFormat="1" applyFont="1"/>
    <xf numFmtId="0" fontId="2" fillId="6" borderId="6" xfId="0" applyFont="1" applyFill="1" applyBorder="1"/>
    <xf numFmtId="0" fontId="0" fillId="6" borderId="7" xfId="0" applyFill="1" applyBorder="1"/>
    <xf numFmtId="166" fontId="2" fillId="0" borderId="0" xfId="0" applyNumberFormat="1" applyFont="1"/>
    <xf numFmtId="166" fontId="4" fillId="0" borderId="0" xfId="0" applyNumberFormat="1" applyFont="1" applyAlignment="1">
      <alignment horizontal="center"/>
    </xf>
    <xf numFmtId="166" fontId="8" fillId="0" borderId="0" xfId="0" applyNumberFormat="1" applyFont="1" applyAlignment="1">
      <alignment horizontal="center"/>
    </xf>
    <xf numFmtId="166" fontId="4" fillId="0" borderId="0" xfId="0" applyNumberFormat="1" applyFont="1" applyAlignment="1">
      <alignment horizontal="left" indent="2"/>
    </xf>
    <xf numFmtId="1" fontId="0" fillId="0" borderId="0" xfId="0" applyNumberFormat="1"/>
    <xf numFmtId="166" fontId="0" fillId="0" borderId="0" xfId="0" applyNumberFormat="1"/>
    <xf numFmtId="166" fontId="4" fillId="0" borderId="0" xfId="0" applyNumberFormat="1" applyFont="1" applyAlignment="1">
      <alignment horizontal="left"/>
    </xf>
    <xf numFmtId="166" fontId="0" fillId="0" borderId="4" xfId="0" applyNumberFormat="1" applyBorder="1"/>
    <xf numFmtId="166" fontId="6" fillId="5" borderId="0" xfId="0" applyNumberFormat="1" applyFont="1" applyFill="1" applyAlignment="1">
      <alignment horizontal="center"/>
    </xf>
    <xf numFmtId="166" fontId="6" fillId="5" borderId="0" xfId="0" applyNumberFormat="1" applyFont="1" applyFill="1"/>
    <xf numFmtId="166" fontId="34" fillId="5" borderId="0" xfId="0" applyNumberFormat="1" applyFont="1" applyFill="1"/>
    <xf numFmtId="166" fontId="4" fillId="0" borderId="0" xfId="0" applyNumberFormat="1" applyFont="1"/>
    <xf numFmtId="166" fontId="0" fillId="0" borderId="1" xfId="0" applyNumberFormat="1" applyBorder="1"/>
    <xf numFmtId="165" fontId="37" fillId="0" borderId="0" xfId="13" applyFont="1" applyAlignment="1">
      <alignment horizontal="center"/>
    </xf>
    <xf numFmtId="166" fontId="0" fillId="0" borderId="3" xfId="0" applyNumberFormat="1" applyBorder="1"/>
    <xf numFmtId="0" fontId="46" fillId="0" borderId="0" xfId="0" applyFont="1"/>
    <xf numFmtId="0" fontId="4" fillId="0" borderId="0" xfId="0" quotePrefix="1" applyFont="1" applyAlignment="1">
      <alignment horizontal="center"/>
    </xf>
    <xf numFmtId="0" fontId="37" fillId="0" borderId="0" xfId="0" applyFont="1"/>
    <xf numFmtId="0" fontId="18" fillId="0" borderId="0" xfId="0" applyFont="1" applyAlignment="1">
      <alignment horizontal="center"/>
    </xf>
    <xf numFmtId="0" fontId="38" fillId="0" borderId="0" xfId="0" applyFont="1" applyAlignment="1">
      <alignment horizontal="center"/>
    </xf>
    <xf numFmtId="0" fontId="18" fillId="5" borderId="0" xfId="0" applyFont="1" applyFill="1" applyAlignment="1">
      <alignment horizontal="center"/>
    </xf>
    <xf numFmtId="0" fontId="38" fillId="0" borderId="1" xfId="0" applyFont="1" applyBorder="1" applyAlignment="1">
      <alignment horizontal="center"/>
    </xf>
    <xf numFmtId="0" fontId="37" fillId="0" borderId="4" xfId="0" applyFont="1" applyBorder="1" applyAlignment="1">
      <alignment horizontal="center"/>
    </xf>
    <xf numFmtId="0" fontId="8" fillId="0" borderId="0" xfId="0" applyFont="1" applyAlignment="1" applyProtection="1">
      <alignment horizontal="center"/>
      <protection locked="0"/>
    </xf>
    <xf numFmtId="165" fontId="41" fillId="5" borderId="0" xfId="13" applyFont="1" applyFill="1"/>
    <xf numFmtId="165" fontId="37" fillId="0" borderId="0" xfId="15" applyFont="1" applyBorder="1"/>
    <xf numFmtId="165" fontId="37" fillId="0" borderId="1" xfId="15" applyFont="1" applyBorder="1"/>
    <xf numFmtId="165" fontId="37" fillId="0" borderId="3" xfId="13" applyFont="1" applyBorder="1"/>
    <xf numFmtId="0" fontId="38" fillId="0" borderId="0" xfId="0" applyFont="1"/>
    <xf numFmtId="165" fontId="38" fillId="0" borderId="0" xfId="15" applyFont="1" applyBorder="1" applyAlignment="1">
      <alignment horizontal="center"/>
    </xf>
    <xf numFmtId="4" fontId="37" fillId="0" borderId="0" xfId="0" applyNumberFormat="1" applyFont="1"/>
    <xf numFmtId="166" fontId="37" fillId="0" borderId="4" xfId="0" applyNumberFormat="1" applyFont="1" applyBorder="1" applyAlignment="1">
      <alignment horizontal="right"/>
    </xf>
    <xf numFmtId="166" fontId="37" fillId="0" borderId="0" xfId="13" applyNumberFormat="1" applyFont="1" applyAlignment="1">
      <alignment horizontal="right"/>
    </xf>
    <xf numFmtId="166" fontId="37" fillId="0" borderId="1" xfId="13" applyNumberFormat="1" applyFont="1" applyBorder="1" applyAlignment="1">
      <alignment horizontal="right"/>
    </xf>
    <xf numFmtId="166" fontId="37" fillId="0" borderId="3" xfId="13" applyNumberFormat="1" applyFont="1" applyBorder="1" applyAlignment="1">
      <alignment horizontal="right"/>
    </xf>
    <xf numFmtId="170" fontId="38" fillId="7" borderId="0" xfId="0" applyNumberFormat="1" applyFont="1" applyFill="1" applyAlignment="1">
      <alignment horizontal="center"/>
    </xf>
    <xf numFmtId="0" fontId="30" fillId="6" borderId="0" xfId="0" applyFont="1" applyFill="1" applyAlignment="1">
      <alignment horizontal="left"/>
    </xf>
    <xf numFmtId="166" fontId="0" fillId="0" borderId="0" xfId="0" applyNumberFormat="1" applyAlignment="1">
      <alignment horizontal="center"/>
    </xf>
    <xf numFmtId="0" fontId="34" fillId="5" borderId="0" xfId="0" applyFont="1" applyFill="1" applyAlignment="1">
      <alignment horizontal="center"/>
    </xf>
    <xf numFmtId="0" fontId="6" fillId="5" borderId="0" xfId="0" applyFont="1" applyFill="1" applyAlignment="1">
      <alignment horizontal="left" indent="1"/>
    </xf>
    <xf numFmtId="0" fontId="42" fillId="5" borderId="0" xfId="0" applyFont="1" applyFill="1" applyAlignment="1">
      <alignment horizontal="left" indent="1"/>
    </xf>
    <xf numFmtId="0" fontId="18" fillId="0" borderId="0" xfId="0" applyFont="1"/>
    <xf numFmtId="0" fontId="8" fillId="0" borderId="0" xfId="0" applyFont="1" applyAlignment="1" applyProtection="1">
      <alignment horizontal="left"/>
      <protection locked="0"/>
    </xf>
    <xf numFmtId="0" fontId="42" fillId="0" borderId="0" xfId="0" applyFont="1"/>
    <xf numFmtId="166" fontId="37" fillId="0" borderId="0" xfId="7" applyFont="1" applyProtection="1"/>
    <xf numFmtId="166" fontId="37" fillId="0" borderId="1" xfId="7" applyFont="1" applyBorder="1" applyProtection="1"/>
    <xf numFmtId="0" fontId="48" fillId="0" borderId="0" xfId="0" applyFont="1"/>
    <xf numFmtId="166" fontId="8" fillId="8" borderId="0" xfId="7" applyFill="1">
      <protection locked="0"/>
    </xf>
    <xf numFmtId="166" fontId="8" fillId="8" borderId="1" xfId="7" applyFill="1" applyBorder="1">
      <protection locked="0"/>
    </xf>
    <xf numFmtId="166" fontId="34" fillId="8" borderId="0" xfId="0" applyNumberFormat="1" applyFont="1" applyFill="1"/>
    <xf numFmtId="166" fontId="0" fillId="8" borderId="1" xfId="0" applyNumberFormat="1" applyFill="1" applyBorder="1"/>
    <xf numFmtId="166" fontId="0" fillId="8" borderId="0" xfId="0" applyNumberFormat="1" applyFill="1"/>
    <xf numFmtId="166" fontId="37" fillId="8" borderId="0" xfId="7" applyFont="1" applyFill="1" applyProtection="1"/>
    <xf numFmtId="166" fontId="37" fillId="8" borderId="1" xfId="7" applyFont="1" applyFill="1" applyBorder="1" applyProtection="1"/>
    <xf numFmtId="166" fontId="19" fillId="8" borderId="0" xfId="8" applyFill="1" applyProtection="1"/>
    <xf numFmtId="166" fontId="47" fillId="0" borderId="0" xfId="8" applyFont="1" applyProtection="1"/>
    <xf numFmtId="166" fontId="44" fillId="0" borderId="0" xfId="6" applyProtection="1"/>
    <xf numFmtId="166" fontId="44" fillId="8" borderId="0" xfId="6" applyFill="1" applyProtection="1"/>
    <xf numFmtId="1" fontId="37" fillId="0" borderId="0" xfId="0" applyNumberFormat="1" applyFont="1" applyAlignment="1">
      <alignment horizontal="left"/>
    </xf>
    <xf numFmtId="168" fontId="41" fillId="9" borderId="0" xfId="0" applyNumberFormat="1" applyFont="1" applyFill="1" applyAlignment="1">
      <alignment horizontal="left"/>
    </xf>
    <xf numFmtId="0" fontId="1" fillId="0" borderId="0" xfId="0" applyFont="1" applyAlignment="1">
      <alignment horizontal="center"/>
    </xf>
    <xf numFmtId="0" fontId="49" fillId="0" borderId="0" xfId="0" applyFont="1"/>
    <xf numFmtId="0" fontId="4" fillId="0" borderId="0" xfId="0" applyFont="1" applyAlignment="1">
      <alignment horizontal="center"/>
    </xf>
    <xf numFmtId="0" fontId="1" fillId="0" borderId="0" xfId="0" quotePrefix="1" applyFont="1"/>
    <xf numFmtId="0" fontId="1" fillId="0" borderId="0" xfId="0" applyFont="1"/>
    <xf numFmtId="165" fontId="50" fillId="0" borderId="0" xfId="0" applyNumberFormat="1" applyFont="1" applyAlignment="1">
      <alignment horizontal="center"/>
    </xf>
    <xf numFmtId="165" fontId="38" fillId="0" borderId="0" xfId="14" applyFont="1" applyAlignment="1">
      <alignment horizontal="center"/>
    </xf>
    <xf numFmtId="0" fontId="51" fillId="0" borderId="0" xfId="0" applyFont="1" applyAlignment="1" applyProtection="1">
      <alignment horizontal="center"/>
      <protection locked="0"/>
    </xf>
    <xf numFmtId="170" fontId="38" fillId="0" borderId="0" xfId="0" applyNumberFormat="1" applyFont="1" applyAlignment="1">
      <alignment horizontal="center"/>
    </xf>
    <xf numFmtId="0" fontId="52" fillId="0" borderId="0" xfId="0" applyFont="1" applyAlignment="1">
      <alignment horizontal="center"/>
    </xf>
    <xf numFmtId="0" fontId="18" fillId="0" borderId="0" xfId="0" applyFont="1" applyAlignment="1" applyProtection="1">
      <alignment horizontal="center"/>
      <protection locked="0"/>
    </xf>
    <xf numFmtId="165" fontId="39" fillId="0" borderId="0" xfId="14" applyFont="1" applyAlignment="1">
      <alignment horizontal="center"/>
    </xf>
    <xf numFmtId="165" fontId="53" fillId="0" borderId="0" xfId="0" applyNumberFormat="1" applyFont="1" applyAlignment="1">
      <alignment horizontal="center"/>
    </xf>
    <xf numFmtId="0" fontId="2"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horizontal="left" indent="1"/>
      <protection locked="0"/>
    </xf>
    <xf numFmtId="165" fontId="37" fillId="0" borderId="0" xfId="0" applyNumberFormat="1" applyFont="1" applyAlignment="1">
      <alignment horizontal="right"/>
    </xf>
    <xf numFmtId="165" fontId="37" fillId="0" borderId="0" xfId="14" applyFont="1"/>
    <xf numFmtId="169" fontId="37" fillId="9" borderId="0" xfId="0" applyNumberFormat="1" applyFont="1" applyFill="1" applyAlignment="1">
      <alignment horizontal="left"/>
    </xf>
    <xf numFmtId="0" fontId="54" fillId="0" borderId="0" xfId="0" applyFont="1"/>
    <xf numFmtId="0" fontId="37" fillId="0" borderId="0" xfId="0" applyFont="1" applyAlignment="1">
      <alignment horizontal="left"/>
    </xf>
    <xf numFmtId="0" fontId="34" fillId="5" borderId="0" xfId="0" applyFont="1" applyFill="1" applyAlignment="1" applyProtection="1">
      <alignment horizontal="center"/>
      <protection locked="0"/>
    </xf>
    <xf numFmtId="0" fontId="6" fillId="5" borderId="0" xfId="0" applyFont="1" applyFill="1" applyAlignment="1" applyProtection="1">
      <alignment horizontal="left" indent="1"/>
      <protection locked="0"/>
    </xf>
    <xf numFmtId="0" fontId="42" fillId="5" borderId="0" xfId="0" applyFont="1" applyFill="1" applyAlignment="1" applyProtection="1">
      <alignment horizontal="left" indent="1"/>
      <protection locked="0"/>
    </xf>
    <xf numFmtId="0" fontId="1" fillId="0" borderId="0" xfId="0" applyFont="1" applyAlignment="1" applyProtection="1">
      <alignment horizontal="left" indent="2"/>
      <protection locked="0"/>
    </xf>
    <xf numFmtId="0" fontId="1" fillId="0" borderId="0" xfId="0" applyFont="1" applyProtection="1">
      <protection locked="0"/>
    </xf>
    <xf numFmtId="165" fontId="37" fillId="0" borderId="0" xfId="14" applyFont="1" applyAlignment="1">
      <alignment horizontal="center"/>
    </xf>
    <xf numFmtId="165" fontId="38" fillId="0" borderId="0" xfId="16" applyFont="1" applyBorder="1" applyAlignment="1">
      <alignment horizontal="center"/>
    </xf>
    <xf numFmtId="0" fontId="0" fillId="0" borderId="0" xfId="0" applyAlignment="1" applyProtection="1">
      <alignment horizontal="left"/>
      <protection locked="0"/>
    </xf>
    <xf numFmtId="173" fontId="37" fillId="0" borderId="0" xfId="1" applyNumberFormat="1" applyFont="1" applyAlignment="1">
      <alignment horizontal="center"/>
    </xf>
    <xf numFmtId="173" fontId="38" fillId="0" borderId="0" xfId="1" applyNumberFormat="1" applyFont="1" applyAlignment="1">
      <alignment horizontal="center"/>
    </xf>
    <xf numFmtId="173" fontId="37" fillId="0" borderId="0" xfId="1" applyNumberFormat="1" applyFont="1"/>
    <xf numFmtId="173" fontId="37" fillId="0" borderId="0" xfId="1" applyNumberFormat="1" applyFont="1" applyAlignment="1">
      <alignment horizontal="right"/>
    </xf>
    <xf numFmtId="173" fontId="37" fillId="9" borderId="0" xfId="1" applyNumberFormat="1" applyFont="1" applyFill="1" applyAlignment="1">
      <alignment horizontal="center"/>
    </xf>
    <xf numFmtId="173" fontId="37" fillId="9" borderId="0" xfId="1" applyNumberFormat="1" applyFont="1" applyFill="1"/>
    <xf numFmtId="173" fontId="37" fillId="9" borderId="0" xfId="1" applyNumberFormat="1" applyFont="1" applyFill="1" applyAlignment="1">
      <alignment horizontal="right"/>
    </xf>
    <xf numFmtId="173" fontId="37" fillId="0" borderId="1" xfId="1" applyNumberFormat="1" applyFont="1" applyBorder="1"/>
    <xf numFmtId="173" fontId="37" fillId="0" borderId="1" xfId="1" applyNumberFormat="1" applyFont="1" applyBorder="1" applyAlignment="1">
      <alignment horizontal="right"/>
    </xf>
    <xf numFmtId="173" fontId="37" fillId="0" borderId="4" xfId="1" applyNumberFormat="1" applyFont="1" applyBorder="1" applyAlignment="1">
      <alignment horizontal="center"/>
    </xf>
    <xf numFmtId="173" fontId="37" fillId="0" borderId="4" xfId="1" applyNumberFormat="1" applyFont="1" applyBorder="1"/>
    <xf numFmtId="173" fontId="37" fillId="0" borderId="4" xfId="1" applyNumberFormat="1" applyFont="1" applyBorder="1" applyAlignment="1">
      <alignment horizontal="right"/>
    </xf>
    <xf numFmtId="173" fontId="37" fillId="0" borderId="0" xfId="1" applyNumberFormat="1" applyFont="1" applyBorder="1"/>
    <xf numFmtId="173" fontId="41" fillId="5" borderId="0" xfId="1" applyNumberFormat="1" applyFont="1" applyFill="1" applyAlignment="1">
      <alignment horizontal="center"/>
    </xf>
    <xf numFmtId="173" fontId="41" fillId="5" borderId="0" xfId="1" applyNumberFormat="1" applyFont="1" applyFill="1"/>
    <xf numFmtId="173" fontId="41" fillId="5" borderId="0" xfId="1" applyNumberFormat="1" applyFont="1" applyFill="1" applyAlignment="1">
      <alignment horizontal="right"/>
    </xf>
    <xf numFmtId="173" fontId="37" fillId="0" borderId="1" xfId="1" applyNumberFormat="1" applyFont="1" applyBorder="1" applyAlignment="1">
      <alignment horizontal="center"/>
    </xf>
    <xf numFmtId="173" fontId="37" fillId="0" borderId="3" xfId="1" applyNumberFormat="1" applyFont="1" applyBorder="1"/>
    <xf numFmtId="173" fontId="37" fillId="0" borderId="3" xfId="1" applyNumberFormat="1" applyFont="1" applyBorder="1" applyAlignment="1">
      <alignment horizontal="right"/>
    </xf>
    <xf numFmtId="1" fontId="0" fillId="0" borderId="0" xfId="0" applyNumberFormat="1" applyProtection="1">
      <protection locked="0"/>
    </xf>
    <xf numFmtId="0" fontId="1" fillId="0" borderId="0" xfId="0" applyFont="1" applyAlignment="1" applyProtection="1">
      <alignment horizontal="left"/>
      <protection locked="0"/>
    </xf>
    <xf numFmtId="0" fontId="0" fillId="7" borderId="0" xfId="0" applyFill="1" applyProtection="1">
      <protection locked="0"/>
    </xf>
    <xf numFmtId="0" fontId="8" fillId="7" borderId="0" xfId="0" applyFont="1" applyFill="1" applyProtection="1">
      <protection locked="0"/>
    </xf>
    <xf numFmtId="0" fontId="6" fillId="5" borderId="0" xfId="0" applyFont="1" applyFill="1" applyAlignment="1" applyProtection="1">
      <alignment horizontal="center"/>
      <protection locked="0"/>
    </xf>
    <xf numFmtId="0" fontId="42" fillId="5" borderId="0" xfId="0" applyFont="1" applyFill="1" applyProtection="1">
      <protection locked="0"/>
    </xf>
    <xf numFmtId="0" fontId="6" fillId="5" borderId="0" xfId="0" applyFont="1" applyFill="1" applyProtection="1">
      <protection locked="0"/>
    </xf>
    <xf numFmtId="166" fontId="8" fillId="0" borderId="0" xfId="0" applyNumberFormat="1" applyFont="1"/>
    <xf numFmtId="173" fontId="55" fillId="0" borderId="0" xfId="1" applyNumberFormat="1" applyFont="1"/>
    <xf numFmtId="173" fontId="34" fillId="5" borderId="0" xfId="1" applyNumberFormat="1" applyFont="1" applyFill="1" applyProtection="1">
      <protection locked="0"/>
    </xf>
    <xf numFmtId="173" fontId="34" fillId="0" borderId="1" xfId="1" applyNumberFormat="1" applyFont="1" applyBorder="1" applyProtection="1">
      <protection locked="0"/>
    </xf>
    <xf numFmtId="173" fontId="8" fillId="0" borderId="0" xfId="1" applyNumberFormat="1" applyFont="1"/>
    <xf numFmtId="166" fontId="8" fillId="0" borderId="0" xfId="7" applyFont="1">
      <protection locked="0"/>
    </xf>
    <xf numFmtId="166" fontId="8" fillId="8" borderId="0" xfId="7" applyFont="1" applyFill="1">
      <protection locked="0"/>
    </xf>
    <xf numFmtId="166" fontId="8" fillId="0" borderId="4" xfId="0" applyNumberFormat="1" applyFont="1" applyBorder="1"/>
    <xf numFmtId="166" fontId="8" fillId="0" borderId="1" xfId="7" applyFont="1" applyBorder="1">
      <protection locked="0"/>
    </xf>
    <xf numFmtId="166" fontId="8" fillId="8" borderId="1" xfId="7" applyFont="1" applyFill="1" applyBorder="1">
      <protection locked="0"/>
    </xf>
    <xf numFmtId="166" fontId="8" fillId="0" borderId="1" xfId="0" applyNumberFormat="1" applyFont="1" applyBorder="1"/>
    <xf numFmtId="166" fontId="8" fillId="0" borderId="3" xfId="0" applyNumberFormat="1" applyFont="1" applyBorder="1"/>
    <xf numFmtId="0" fontId="8" fillId="0" borderId="0" xfId="0" applyFont="1" applyProtection="1">
      <protection locked="0"/>
    </xf>
    <xf numFmtId="173" fontId="8" fillId="0" borderId="0" xfId="1" applyNumberFormat="1" applyFont="1" applyProtection="1">
      <protection locked="0"/>
    </xf>
    <xf numFmtId="173" fontId="8" fillId="0" borderId="4" xfId="1" applyNumberFormat="1" applyFont="1" applyBorder="1" applyProtection="1">
      <protection locked="0"/>
    </xf>
    <xf numFmtId="173" fontId="8" fillId="0" borderId="1" xfId="1" applyNumberFormat="1" applyFont="1" applyBorder="1" applyProtection="1">
      <protection locked="0"/>
    </xf>
    <xf numFmtId="173" fontId="8" fillId="0" borderId="3" xfId="1" applyNumberFormat="1" applyFont="1" applyBorder="1" applyProtection="1">
      <protection locked="0"/>
    </xf>
    <xf numFmtId="0" fontId="0" fillId="0" borderId="0" xfId="0" applyFill="1"/>
    <xf numFmtId="0" fontId="4" fillId="0" borderId="0" xfId="0" applyFont="1" applyFill="1" applyAlignment="1">
      <alignment horizontal="left"/>
    </xf>
    <xf numFmtId="0" fontId="1" fillId="0" borderId="0" xfId="0" applyFont="1" applyFill="1" applyAlignment="1">
      <alignment horizontal="center"/>
    </xf>
    <xf numFmtId="0" fontId="8" fillId="0" borderId="0" xfId="0" applyFont="1" applyFill="1"/>
    <xf numFmtId="0" fontId="0" fillId="0" borderId="0" xfId="0" quotePrefix="1" applyFill="1" applyAlignment="1">
      <alignment horizontal="center"/>
    </xf>
    <xf numFmtId="0" fontId="1" fillId="0" borderId="0" xfId="0" applyFont="1" applyFill="1"/>
    <xf numFmtId="0" fontId="6" fillId="0" borderId="0" xfId="0" applyFont="1" applyFill="1"/>
    <xf numFmtId="0" fontId="0" fillId="0" borderId="0" xfId="0" applyFill="1" applyAlignment="1">
      <alignment horizontal="center"/>
    </xf>
    <xf numFmtId="0" fontId="0" fillId="0" borderId="0" xfId="0" quotePrefix="1" applyFill="1" applyAlignment="1">
      <alignment horizontal="center" vertical="center"/>
    </xf>
    <xf numFmtId="0" fontId="1" fillId="10" borderId="0" xfId="0" applyFont="1" applyFill="1" applyAlignment="1">
      <alignment horizontal="left" indent="1"/>
    </xf>
    <xf numFmtId="0" fontId="0" fillId="10" borderId="0" xfId="0" applyFill="1"/>
    <xf numFmtId="41" fontId="0" fillId="10" borderId="0" xfId="0" applyNumberFormat="1" applyFill="1"/>
    <xf numFmtId="0" fontId="2" fillId="0" borderId="0" xfId="0" applyFont="1" applyFill="1"/>
    <xf numFmtId="0" fontId="48" fillId="0" borderId="0" xfId="0" applyFont="1" applyFill="1"/>
    <xf numFmtId="0" fontId="56" fillId="0" borderId="0" xfId="0" applyFont="1" applyFill="1" applyAlignment="1">
      <alignment horizontal="center"/>
    </xf>
    <xf numFmtId="0" fontId="1" fillId="0" borderId="0" xfId="0" applyFont="1" applyFill="1" applyAlignment="1">
      <alignment horizontal="left" indent="1"/>
    </xf>
    <xf numFmtId="41" fontId="0" fillId="0" borderId="0" xfId="0" applyNumberFormat="1" applyFill="1" applyProtection="1">
      <protection locked="0"/>
    </xf>
    <xf numFmtId="173" fontId="16" fillId="0" borderId="4" xfId="1" applyNumberFormat="1" applyFont="1" applyFill="1" applyBorder="1" applyAlignment="1">
      <alignment horizontal="center"/>
    </xf>
    <xf numFmtId="43" fontId="16" fillId="0" borderId="4" xfId="1" applyFont="1" applyFill="1" applyBorder="1" applyAlignment="1">
      <alignment horizontal="center"/>
    </xf>
    <xf numFmtId="173" fontId="1" fillId="0" borderId="4" xfId="0" applyNumberFormat="1" applyFont="1" applyFill="1" applyBorder="1"/>
    <xf numFmtId="0" fontId="15" fillId="0" borderId="0" xfId="0" applyFont="1" applyFill="1" applyAlignment="1">
      <alignment horizontal="center"/>
    </xf>
    <xf numFmtId="0" fontId="0" fillId="0" borderId="0" xfId="0" applyFill="1" applyAlignment="1">
      <alignment horizontal="left" indent="2"/>
    </xf>
    <xf numFmtId="41" fontId="0" fillId="0" borderId="0" xfId="0" applyNumberFormat="1" applyFill="1"/>
    <xf numFmtId="173" fontId="16" fillId="0" borderId="0" xfId="1" applyNumberFormat="1" applyFont="1" applyFill="1" applyBorder="1" applyAlignment="1" applyProtection="1">
      <alignment horizontal="center"/>
      <protection locked="0"/>
    </xf>
    <xf numFmtId="173" fontId="16" fillId="0" borderId="1" xfId="1" applyNumberFormat="1" applyFont="1" applyFill="1" applyBorder="1" applyAlignment="1" applyProtection="1">
      <alignment horizontal="center"/>
      <protection locked="0"/>
    </xf>
    <xf numFmtId="43" fontId="16" fillId="0" borderId="0" xfId="1" applyFont="1" applyFill="1" applyBorder="1" applyAlignment="1" applyProtection="1">
      <alignment horizontal="center"/>
      <protection locked="0"/>
    </xf>
    <xf numFmtId="43" fontId="16" fillId="0" borderId="1" xfId="1" applyFont="1" applyFill="1" applyBorder="1" applyAlignment="1" applyProtection="1">
      <alignment horizontal="center"/>
      <protection locked="0"/>
    </xf>
    <xf numFmtId="173" fontId="1" fillId="0" borderId="0" xfId="0" applyNumberFormat="1" applyFont="1" applyFill="1" applyProtection="1"/>
    <xf numFmtId="173" fontId="1" fillId="0" borderId="1" xfId="0" applyNumberFormat="1" applyFont="1" applyFill="1" applyBorder="1" applyProtection="1"/>
    <xf numFmtId="0" fontId="37" fillId="0" borderId="0" xfId="0" applyFont="1" applyFill="1"/>
    <xf numFmtId="0" fontId="57" fillId="0" borderId="0" xfId="0" applyFont="1"/>
    <xf numFmtId="0" fontId="0" fillId="0" borderId="0" xfId="0" applyAlignment="1">
      <alignment horizontal="center" vertical="center"/>
    </xf>
    <xf numFmtId="0" fontId="59" fillId="0" borderId="0" xfId="0" applyFont="1" applyAlignment="1">
      <alignment horizontal="left" vertical="center"/>
    </xf>
    <xf numFmtId="0" fontId="38" fillId="0" borderId="0" xfId="0" applyFont="1" applyAlignment="1">
      <alignment horizontal="center" vertical="center"/>
    </xf>
    <xf numFmtId="0" fontId="60" fillId="0" borderId="0" xfId="0" applyFont="1" applyAlignment="1">
      <alignment horizontal="center" vertical="center"/>
    </xf>
    <xf numFmtId="0" fontId="60" fillId="0" borderId="0" xfId="0" applyFont="1"/>
    <xf numFmtId="0" fontId="58" fillId="11" borderId="8" xfId="0" applyFont="1" applyFill="1" applyBorder="1" applyProtection="1"/>
    <xf numFmtId="170" fontId="26" fillId="7" borderId="0" xfId="8" applyNumberFormat="1" applyFont="1" applyFill="1" applyAlignment="1" applyProtection="1">
      <alignment horizontal="center"/>
    </xf>
    <xf numFmtId="1" fontId="38" fillId="0" borderId="0" xfId="0" applyNumberFormat="1" applyFont="1" applyFill="1" applyAlignment="1">
      <alignment horizontal="center"/>
    </xf>
    <xf numFmtId="0" fontId="38" fillId="0" borderId="0" xfId="0" applyFont="1" applyFill="1" applyAlignment="1">
      <alignment horizontal="center"/>
    </xf>
    <xf numFmtId="0" fontId="2" fillId="0" borderId="0" xfId="0" applyFont="1" applyFill="1" applyProtection="1">
      <protection locked="0"/>
    </xf>
    <xf numFmtId="0" fontId="38" fillId="0" borderId="1" xfId="0" applyFont="1" applyFill="1" applyBorder="1" applyAlignment="1">
      <alignment horizontal="center"/>
    </xf>
    <xf numFmtId="165" fontId="38" fillId="0" borderId="1" xfId="0" applyNumberFormat="1" applyFont="1" applyFill="1" applyBorder="1" applyAlignment="1">
      <alignment horizontal="center"/>
    </xf>
    <xf numFmtId="166" fontId="38" fillId="0" borderId="1" xfId="0" applyNumberFormat="1" applyFont="1" applyFill="1" applyBorder="1" applyAlignment="1">
      <alignment horizontal="center"/>
    </xf>
    <xf numFmtId="1" fontId="0" fillId="0" borderId="0" xfId="0" applyNumberFormat="1" applyFill="1" applyProtection="1">
      <protection locked="0"/>
    </xf>
    <xf numFmtId="0" fontId="0" fillId="0" borderId="0" xfId="0" applyFill="1" applyProtection="1">
      <protection locked="0"/>
    </xf>
    <xf numFmtId="165" fontId="39" fillId="0" borderId="0" xfId="14" applyFont="1" applyFill="1" applyAlignment="1">
      <alignment horizontal="center"/>
    </xf>
    <xf numFmtId="0" fontId="38" fillId="0" borderId="1" xfId="0" applyFont="1" applyFill="1" applyBorder="1" applyAlignment="1">
      <alignment horizontal="center" wrapText="1"/>
    </xf>
    <xf numFmtId="166" fontId="38" fillId="0" borderId="0" xfId="0" applyNumberFormat="1" applyFont="1" applyFill="1" applyAlignment="1">
      <alignment horizontal="center"/>
    </xf>
    <xf numFmtId="0" fontId="14"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wrapText="1"/>
    </xf>
    <xf numFmtId="0" fontId="8" fillId="0" borderId="1" xfId="0" applyFont="1" applyBorder="1" applyAlignment="1">
      <alignment horizontal="center" wrapText="1"/>
    </xf>
    <xf numFmtId="0" fontId="1" fillId="0" borderId="0" xfId="0" applyFont="1" applyFill="1" applyAlignment="1">
      <alignment horizontal="left" vertical="top" wrapText="1"/>
    </xf>
    <xf numFmtId="0" fontId="0" fillId="0" borderId="0" xfId="0" applyFill="1" applyAlignment="1">
      <alignment horizontal="left" vertical="top" wrapText="1"/>
    </xf>
    <xf numFmtId="0" fontId="13" fillId="0" borderId="0" xfId="0" applyFont="1" applyAlignment="1">
      <alignment horizontal="center"/>
    </xf>
  </cellXfs>
  <cellStyles count="19">
    <cellStyle name="Comma" xfId="1" builtinId="3"/>
    <cellStyle name="Exhibit No." xfId="2" xr:uid="{00000000-0005-0000-0000-000001000000}"/>
    <cellStyle name="HeadStateofNC" xfId="3" xr:uid="{00000000-0005-0000-0000-000002000000}"/>
    <cellStyle name="HeadTitles" xfId="4" xr:uid="{00000000-0005-0000-0000-000003000000}"/>
    <cellStyle name="HeadYE_Date" xfId="5" xr:uid="{00000000-0005-0000-0000-000004000000}"/>
    <cellStyle name="Normal" xfId="0" builtinId="0"/>
    <cellStyle name="Normal 2" xfId="6" xr:uid="{00000000-0005-0000-0000-000006000000}"/>
    <cellStyle name="Normal 3" xfId="7" xr:uid="{00000000-0005-0000-0000-000007000000}"/>
    <cellStyle name="Normal_2005Collproforma" xfId="8" xr:uid="{00000000-0005-0000-0000-000008000000}"/>
    <cellStyle name="Number$ -" xfId="9" xr:uid="{00000000-0005-0000-0000-000009000000}"/>
    <cellStyle name="Number-no $ -" xfId="10" xr:uid="{00000000-0005-0000-0000-00000A000000}"/>
    <cellStyle name="NumberTotal$ -" xfId="11" xr:uid="{00000000-0005-0000-0000-00000B000000}"/>
    <cellStyle name="NumberTotal-no $ -" xfId="12" xr:uid="{00000000-0005-0000-0000-00000C000000}"/>
    <cellStyle name="NumNo$" xfId="13" xr:uid="{00000000-0005-0000-0000-00000D000000}"/>
    <cellStyle name="NumNo$ 2" xfId="14" xr:uid="{00000000-0005-0000-0000-00000E000000}"/>
    <cellStyle name="NumTotD" xfId="15" xr:uid="{00000000-0005-0000-0000-00000F000000}"/>
    <cellStyle name="NumTotD 2" xfId="16" xr:uid="{00000000-0005-0000-0000-000010000000}"/>
    <cellStyle name="NumTotNo$" xfId="17" xr:uid="{00000000-0005-0000-0000-000011000000}"/>
    <cellStyle name="NumTotNo$ 2" xfId="18" xr:uid="{00000000-0005-0000-0000-000012000000}"/>
  </cellStyles>
  <dxfs count="13">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rgb="FFFF0000"/>
      </font>
    </dxf>
    <dxf>
      <font>
        <b/>
        <i val="0"/>
        <color rgb="FFFF0000"/>
      </font>
    </dxf>
    <dxf>
      <font>
        <b/>
        <i val="0"/>
        <color rgb="FFFF0000"/>
      </font>
    </dxf>
    <dxf>
      <font>
        <b/>
        <i val="0"/>
        <color rgb="FFFF000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1314450</xdr:colOff>
      <xdr:row>16</xdr:row>
      <xdr:rowOff>85725</xdr:rowOff>
    </xdr:from>
    <xdr:to>
      <xdr:col>2</xdr:col>
      <xdr:colOff>1838325</xdr:colOff>
      <xdr:row>16</xdr:row>
      <xdr:rowOff>85725</xdr:rowOff>
    </xdr:to>
    <xdr:sp macro="" textlink="">
      <xdr:nvSpPr>
        <xdr:cNvPr id="14670" name="Line 3">
          <a:extLst>
            <a:ext uri="{FF2B5EF4-FFF2-40B4-BE49-F238E27FC236}">
              <a16:creationId xmlns:a16="http://schemas.microsoft.com/office/drawing/2014/main" id="{00000000-0008-0000-0100-00004E390000}"/>
            </a:ext>
          </a:extLst>
        </xdr:cNvPr>
        <xdr:cNvSpPr>
          <a:spLocks noChangeShapeType="1"/>
        </xdr:cNvSpPr>
      </xdr:nvSpPr>
      <xdr:spPr bwMode="auto">
        <a:xfrm>
          <a:off x="2343150" y="21812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18</xdr:row>
      <xdr:rowOff>85725</xdr:rowOff>
    </xdr:from>
    <xdr:to>
      <xdr:col>2</xdr:col>
      <xdr:colOff>1838325</xdr:colOff>
      <xdr:row>18</xdr:row>
      <xdr:rowOff>85725</xdr:rowOff>
    </xdr:to>
    <xdr:sp macro="" textlink="">
      <xdr:nvSpPr>
        <xdr:cNvPr id="14671" name="Line 4">
          <a:extLst>
            <a:ext uri="{FF2B5EF4-FFF2-40B4-BE49-F238E27FC236}">
              <a16:creationId xmlns:a16="http://schemas.microsoft.com/office/drawing/2014/main" id="{00000000-0008-0000-0100-00004F390000}"/>
            </a:ext>
          </a:extLst>
        </xdr:cNvPr>
        <xdr:cNvSpPr>
          <a:spLocks noChangeShapeType="1"/>
        </xdr:cNvSpPr>
      </xdr:nvSpPr>
      <xdr:spPr bwMode="auto">
        <a:xfrm>
          <a:off x="2343150" y="24003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20</xdr:row>
      <xdr:rowOff>85725</xdr:rowOff>
    </xdr:from>
    <xdr:to>
      <xdr:col>2</xdr:col>
      <xdr:colOff>1838325</xdr:colOff>
      <xdr:row>20</xdr:row>
      <xdr:rowOff>85725</xdr:rowOff>
    </xdr:to>
    <xdr:sp macro="" textlink="">
      <xdr:nvSpPr>
        <xdr:cNvPr id="14672" name="Line 5">
          <a:extLst>
            <a:ext uri="{FF2B5EF4-FFF2-40B4-BE49-F238E27FC236}">
              <a16:creationId xmlns:a16="http://schemas.microsoft.com/office/drawing/2014/main" id="{00000000-0008-0000-0100-000050390000}"/>
            </a:ext>
          </a:extLst>
        </xdr:cNvPr>
        <xdr:cNvSpPr>
          <a:spLocks noChangeShapeType="1"/>
        </xdr:cNvSpPr>
      </xdr:nvSpPr>
      <xdr:spPr bwMode="auto">
        <a:xfrm>
          <a:off x="2343150" y="26193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22</xdr:row>
      <xdr:rowOff>85725</xdr:rowOff>
    </xdr:from>
    <xdr:to>
      <xdr:col>2</xdr:col>
      <xdr:colOff>1838325</xdr:colOff>
      <xdr:row>22</xdr:row>
      <xdr:rowOff>85725</xdr:rowOff>
    </xdr:to>
    <xdr:sp macro="" textlink="">
      <xdr:nvSpPr>
        <xdr:cNvPr id="14673" name="Line 6">
          <a:extLst>
            <a:ext uri="{FF2B5EF4-FFF2-40B4-BE49-F238E27FC236}">
              <a16:creationId xmlns:a16="http://schemas.microsoft.com/office/drawing/2014/main" id="{00000000-0008-0000-0100-000051390000}"/>
            </a:ext>
          </a:extLst>
        </xdr:cNvPr>
        <xdr:cNvSpPr>
          <a:spLocks noChangeShapeType="1"/>
        </xdr:cNvSpPr>
      </xdr:nvSpPr>
      <xdr:spPr bwMode="auto">
        <a:xfrm>
          <a:off x="2343150" y="28384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24</xdr:row>
      <xdr:rowOff>85725</xdr:rowOff>
    </xdr:from>
    <xdr:to>
      <xdr:col>2</xdr:col>
      <xdr:colOff>1838325</xdr:colOff>
      <xdr:row>24</xdr:row>
      <xdr:rowOff>85725</xdr:rowOff>
    </xdr:to>
    <xdr:sp macro="" textlink="">
      <xdr:nvSpPr>
        <xdr:cNvPr id="14674" name="Line 7">
          <a:extLst>
            <a:ext uri="{FF2B5EF4-FFF2-40B4-BE49-F238E27FC236}">
              <a16:creationId xmlns:a16="http://schemas.microsoft.com/office/drawing/2014/main" id="{00000000-0008-0000-0100-000052390000}"/>
            </a:ext>
          </a:extLst>
        </xdr:cNvPr>
        <xdr:cNvSpPr>
          <a:spLocks noChangeShapeType="1"/>
        </xdr:cNvSpPr>
      </xdr:nvSpPr>
      <xdr:spPr bwMode="auto">
        <a:xfrm>
          <a:off x="2343150" y="30575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6</xdr:row>
      <xdr:rowOff>85725</xdr:rowOff>
    </xdr:from>
    <xdr:to>
      <xdr:col>2</xdr:col>
      <xdr:colOff>1838325</xdr:colOff>
      <xdr:row>6</xdr:row>
      <xdr:rowOff>85725</xdr:rowOff>
    </xdr:to>
    <xdr:sp macro="" textlink="">
      <xdr:nvSpPr>
        <xdr:cNvPr id="14675" name="Line 9">
          <a:extLst>
            <a:ext uri="{FF2B5EF4-FFF2-40B4-BE49-F238E27FC236}">
              <a16:creationId xmlns:a16="http://schemas.microsoft.com/office/drawing/2014/main" id="{00000000-0008-0000-0100-000053390000}"/>
            </a:ext>
          </a:extLst>
        </xdr:cNvPr>
        <xdr:cNvSpPr>
          <a:spLocks noChangeShapeType="1"/>
        </xdr:cNvSpPr>
      </xdr:nvSpPr>
      <xdr:spPr bwMode="auto">
        <a:xfrm>
          <a:off x="2343150" y="9429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76" name="Line 10">
          <a:extLst>
            <a:ext uri="{FF2B5EF4-FFF2-40B4-BE49-F238E27FC236}">
              <a16:creationId xmlns:a16="http://schemas.microsoft.com/office/drawing/2014/main" id="{00000000-0008-0000-0100-000054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77" name="Line 11">
          <a:extLst>
            <a:ext uri="{FF2B5EF4-FFF2-40B4-BE49-F238E27FC236}">
              <a16:creationId xmlns:a16="http://schemas.microsoft.com/office/drawing/2014/main" id="{00000000-0008-0000-0100-000055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78" name="Line 12">
          <a:extLst>
            <a:ext uri="{FF2B5EF4-FFF2-40B4-BE49-F238E27FC236}">
              <a16:creationId xmlns:a16="http://schemas.microsoft.com/office/drawing/2014/main" id="{00000000-0008-0000-0100-000056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79" name="Line 13">
          <a:extLst>
            <a:ext uri="{FF2B5EF4-FFF2-40B4-BE49-F238E27FC236}">
              <a16:creationId xmlns:a16="http://schemas.microsoft.com/office/drawing/2014/main" id="{00000000-0008-0000-0100-000057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0" name="Line 14">
          <a:extLst>
            <a:ext uri="{FF2B5EF4-FFF2-40B4-BE49-F238E27FC236}">
              <a16:creationId xmlns:a16="http://schemas.microsoft.com/office/drawing/2014/main" id="{00000000-0008-0000-0100-000058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1" name="Line 15">
          <a:extLst>
            <a:ext uri="{FF2B5EF4-FFF2-40B4-BE49-F238E27FC236}">
              <a16:creationId xmlns:a16="http://schemas.microsoft.com/office/drawing/2014/main" id="{00000000-0008-0000-0100-000059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82" name="Line 16">
          <a:extLst>
            <a:ext uri="{FF2B5EF4-FFF2-40B4-BE49-F238E27FC236}">
              <a16:creationId xmlns:a16="http://schemas.microsoft.com/office/drawing/2014/main" id="{00000000-0008-0000-0100-00005A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83" name="Line 17">
          <a:extLst>
            <a:ext uri="{FF2B5EF4-FFF2-40B4-BE49-F238E27FC236}">
              <a16:creationId xmlns:a16="http://schemas.microsoft.com/office/drawing/2014/main" id="{00000000-0008-0000-0100-00005B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84" name="Line 18">
          <a:extLst>
            <a:ext uri="{FF2B5EF4-FFF2-40B4-BE49-F238E27FC236}">
              <a16:creationId xmlns:a16="http://schemas.microsoft.com/office/drawing/2014/main" id="{00000000-0008-0000-0100-00005C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85" name="Line 19">
          <a:extLst>
            <a:ext uri="{FF2B5EF4-FFF2-40B4-BE49-F238E27FC236}">
              <a16:creationId xmlns:a16="http://schemas.microsoft.com/office/drawing/2014/main" id="{00000000-0008-0000-0100-00005D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6" name="Line 20">
          <a:extLst>
            <a:ext uri="{FF2B5EF4-FFF2-40B4-BE49-F238E27FC236}">
              <a16:creationId xmlns:a16="http://schemas.microsoft.com/office/drawing/2014/main" id="{00000000-0008-0000-0100-00005E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7" name="Line 21">
          <a:extLst>
            <a:ext uri="{FF2B5EF4-FFF2-40B4-BE49-F238E27FC236}">
              <a16:creationId xmlns:a16="http://schemas.microsoft.com/office/drawing/2014/main" id="{00000000-0008-0000-0100-00005F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8" name="Line 22">
          <a:extLst>
            <a:ext uri="{FF2B5EF4-FFF2-40B4-BE49-F238E27FC236}">
              <a16:creationId xmlns:a16="http://schemas.microsoft.com/office/drawing/2014/main" id="{00000000-0008-0000-0100-000060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9" name="Line 23">
          <a:extLst>
            <a:ext uri="{FF2B5EF4-FFF2-40B4-BE49-F238E27FC236}">
              <a16:creationId xmlns:a16="http://schemas.microsoft.com/office/drawing/2014/main" id="{00000000-0008-0000-0100-000061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90" name="Line 24">
          <a:extLst>
            <a:ext uri="{FF2B5EF4-FFF2-40B4-BE49-F238E27FC236}">
              <a16:creationId xmlns:a16="http://schemas.microsoft.com/office/drawing/2014/main" id="{00000000-0008-0000-0100-000062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91" name="Line 25">
          <a:extLst>
            <a:ext uri="{FF2B5EF4-FFF2-40B4-BE49-F238E27FC236}">
              <a16:creationId xmlns:a16="http://schemas.microsoft.com/office/drawing/2014/main" id="{00000000-0008-0000-0100-000063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4692" name="Line 26">
          <a:extLst>
            <a:ext uri="{FF2B5EF4-FFF2-40B4-BE49-F238E27FC236}">
              <a16:creationId xmlns:a16="http://schemas.microsoft.com/office/drawing/2014/main" id="{00000000-0008-0000-0100-000064390000}"/>
            </a:ext>
          </a:extLst>
        </xdr:cNvPr>
        <xdr:cNvSpPr>
          <a:spLocks noChangeShapeType="1"/>
        </xdr:cNvSpPr>
      </xdr:nvSpPr>
      <xdr:spPr bwMode="auto">
        <a:xfrm>
          <a:off x="2343150" y="7810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D23"/>
  <sheetViews>
    <sheetView showGridLines="0" tabSelected="1" zoomScaleNormal="100" workbookViewId="0">
      <selection activeCell="D13" sqref="D13"/>
    </sheetView>
  </sheetViews>
  <sheetFormatPr defaultRowHeight="13.2" x14ac:dyDescent="0.25"/>
  <cols>
    <col min="1" max="1" width="106.33203125" customWidth="1"/>
    <col min="2" max="2" width="27.6640625" customWidth="1"/>
    <col min="3" max="3" width="45.6640625" customWidth="1"/>
    <col min="4" max="4" width="16" customWidth="1"/>
  </cols>
  <sheetData>
    <row r="1" spans="1:4" ht="20.100000000000001" customHeight="1" x14ac:dyDescent="0.25">
      <c r="A1" s="28"/>
      <c r="B1" s="28"/>
      <c r="C1" s="28"/>
      <c r="D1" s="28"/>
    </row>
    <row r="2" spans="1:4" ht="15.6" x14ac:dyDescent="0.3">
      <c r="A2" s="41" t="s">
        <v>94</v>
      </c>
      <c r="B2" s="41"/>
      <c r="C2" s="41"/>
      <c r="D2" s="41"/>
    </row>
    <row r="3" spans="1:4" ht="15.6" x14ac:dyDescent="0.3">
      <c r="A3" s="41" t="s">
        <v>117</v>
      </c>
      <c r="B3" s="41"/>
      <c r="C3" s="41"/>
      <c r="D3" s="41"/>
    </row>
    <row r="4" spans="1:4" ht="15.6" x14ac:dyDescent="0.3">
      <c r="A4" s="46" t="s">
        <v>444</v>
      </c>
      <c r="B4" s="43"/>
      <c r="C4" s="43"/>
      <c r="D4" s="43"/>
    </row>
    <row r="5" spans="1:4" ht="12.75" customHeight="1" x14ac:dyDescent="0.25">
      <c r="A5" s="44"/>
      <c r="B5" s="44"/>
      <c r="C5" s="44"/>
      <c r="D5" s="44"/>
    </row>
    <row r="6" spans="1:4" ht="12.75" customHeight="1" x14ac:dyDescent="0.25">
      <c r="A6" s="28"/>
      <c r="B6" s="28"/>
      <c r="C6" s="28"/>
      <c r="D6" s="28"/>
    </row>
    <row r="7" spans="1:4" x14ac:dyDescent="0.25">
      <c r="A7" s="29" t="s">
        <v>251</v>
      </c>
      <c r="B7" s="29"/>
      <c r="C7" s="29"/>
      <c r="D7" s="29"/>
    </row>
    <row r="8" spans="1:4" x14ac:dyDescent="0.25">
      <c r="A8" s="29" t="s">
        <v>225</v>
      </c>
      <c r="B8" s="29"/>
      <c r="C8" s="29"/>
      <c r="D8" s="29"/>
    </row>
    <row r="9" spans="1:4" x14ac:dyDescent="0.25">
      <c r="A9" s="269" t="s">
        <v>384</v>
      </c>
      <c r="B9" s="29"/>
      <c r="C9" s="29"/>
      <c r="D9" s="29"/>
    </row>
    <row r="10" spans="1:4" x14ac:dyDescent="0.25">
      <c r="A10" s="195" t="s">
        <v>448</v>
      </c>
      <c r="B10" s="197"/>
      <c r="C10" s="197"/>
      <c r="D10" s="197"/>
    </row>
    <row r="11" spans="1:4" ht="12.75" customHeight="1" x14ac:dyDescent="0.25">
      <c r="A11" s="29"/>
      <c r="B11" s="29"/>
      <c r="C11" s="29"/>
      <c r="D11" s="29"/>
    </row>
    <row r="12" spans="1:4" x14ac:dyDescent="0.25">
      <c r="A12" s="29" t="s">
        <v>119</v>
      </c>
      <c r="B12" s="29"/>
      <c r="C12" s="29"/>
      <c r="D12" s="29"/>
    </row>
    <row r="13" spans="1:4" x14ac:dyDescent="0.25">
      <c r="A13" s="29" t="s">
        <v>87</v>
      </c>
      <c r="B13" s="29"/>
      <c r="C13" s="29"/>
      <c r="D13" s="29"/>
    </row>
    <row r="14" spans="1:4" x14ac:dyDescent="0.25">
      <c r="A14" s="29" t="s">
        <v>88</v>
      </c>
      <c r="B14" s="29"/>
      <c r="C14" s="29"/>
      <c r="D14" s="29"/>
    </row>
    <row r="15" spans="1:4" x14ac:dyDescent="0.25">
      <c r="A15" s="195" t="s">
        <v>454</v>
      </c>
      <c r="B15" s="29"/>
      <c r="C15" s="29"/>
      <c r="D15" s="29"/>
    </row>
    <row r="16" spans="1:4" x14ac:dyDescent="0.25">
      <c r="A16" s="29"/>
      <c r="B16" s="29"/>
      <c r="C16" s="29"/>
      <c r="D16" s="29"/>
    </row>
    <row r="17" spans="1:4" ht="12.75" customHeight="1" x14ac:dyDescent="0.25">
      <c r="A17" s="42" t="s">
        <v>89</v>
      </c>
      <c r="B17" s="42"/>
      <c r="C17" s="42"/>
      <c r="D17" s="42"/>
    </row>
    <row r="18" spans="1:4" ht="12.75" customHeight="1" x14ac:dyDescent="0.25">
      <c r="A18" s="29" t="s">
        <v>90</v>
      </c>
      <c r="B18" s="29"/>
      <c r="C18" s="29"/>
      <c r="D18" s="29"/>
    </row>
    <row r="19" spans="1:4" x14ac:dyDescent="0.25">
      <c r="A19" s="29" t="s">
        <v>91</v>
      </c>
      <c r="B19" s="29"/>
      <c r="C19" s="29"/>
      <c r="D19" s="29"/>
    </row>
    <row r="20" spans="1:4" x14ac:dyDescent="0.25">
      <c r="A20" s="29" t="s">
        <v>92</v>
      </c>
      <c r="B20" s="29"/>
      <c r="C20" s="29"/>
      <c r="D20" s="29"/>
    </row>
    <row r="21" spans="1:4" x14ac:dyDescent="0.25">
      <c r="A21" s="29" t="s">
        <v>93</v>
      </c>
      <c r="B21" s="29"/>
      <c r="C21" s="29"/>
      <c r="D21" s="29"/>
    </row>
    <row r="22" spans="1:4" ht="20.100000000000001" customHeight="1" x14ac:dyDescent="0.25"/>
    <row r="23" spans="1:4" x14ac:dyDescent="0.25">
      <c r="A23" s="77" t="s">
        <v>469</v>
      </c>
    </row>
  </sheetData>
  <sheetProtection algorithmName="SHA-512" hashValue="0jp6Zs68Sid0o7dbsjMEZiATPZKcov340tRTX8DqO5rqwRPCJ/jXqO/yHLYC/4dR3Hc5BFDkA3G0olB4sSHy5w==" saltValue="r85M+tvUSiJOsbGA+ShHlg==" spinCount="100000" sheet="1" autoFilter="0"/>
  <phoneticPr fontId="0" type="noConversion"/>
  <pageMargins left="0.5" right="0.5" top="0.75" bottom="0.75" header="0.5" footer="0.2"/>
  <pageSetup orientation="portrait" r:id="rId1"/>
  <headerFooter alignWithMargins="0">
    <oddFooter>&amp;L&amp;F &amp;A&amp;C&amp;P of &amp;N&amp;R&amp;D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Y54"/>
  <sheetViews>
    <sheetView zoomScaleNormal="100" workbookViewId="0">
      <pane xSplit="3" ySplit="6" topLeftCell="D7" activePane="bottomRight" state="frozen"/>
      <selection activeCell="A5" sqref="A5"/>
      <selection pane="topRight" activeCell="A5" sqref="A5"/>
      <selection pane="bottomLeft" activeCell="A5" sqref="A5"/>
      <selection pane="bottomRight" activeCell="M24" sqref="M24"/>
    </sheetView>
  </sheetViews>
  <sheetFormatPr defaultColWidth="9.109375" defaultRowHeight="10.199999999999999" x14ac:dyDescent="0.2"/>
  <cols>
    <col min="1" max="1" width="4.44140625" style="105" customWidth="1"/>
    <col min="2" max="2" width="4.6640625" style="152" customWidth="1"/>
    <col min="3" max="3" width="30.33203125" style="152" customWidth="1"/>
    <col min="4" max="4" width="2.33203125" style="152" customWidth="1"/>
    <col min="5" max="5" width="6.6640625" style="152" customWidth="1"/>
    <col min="6" max="6" width="11" style="152" customWidth="1"/>
    <col min="7" max="7" width="10.44140625" style="152" customWidth="1"/>
    <col min="8" max="8" width="6" style="152" customWidth="1"/>
    <col min="9" max="9" width="10.5546875" style="152" bestFit="1" customWidth="1"/>
    <col min="10" max="10" width="10.5546875" style="152" customWidth="1"/>
    <col min="11" max="11" width="7.109375" style="152" bestFit="1" customWidth="1"/>
    <col min="12" max="12" width="10.109375" style="152" customWidth="1"/>
    <col min="13" max="13" width="10.6640625" style="152" customWidth="1"/>
    <col min="14" max="14" width="7.109375" style="152" bestFit="1" customWidth="1"/>
    <col min="15" max="15" width="10.5546875" style="152" customWidth="1"/>
    <col min="16" max="16" width="11" style="152" bestFit="1" customWidth="1"/>
    <col min="17" max="17" width="10.109375" style="152" customWidth="1"/>
    <col min="18" max="18" width="5.109375" style="152" customWidth="1"/>
    <col min="19" max="19" width="7.109375" style="152" bestFit="1" customWidth="1"/>
    <col min="20" max="20" width="9.5546875" style="152" customWidth="1"/>
    <col min="21" max="21" width="9.88671875" style="152" bestFit="1" customWidth="1"/>
    <col min="22" max="22" width="10.5546875" style="152" customWidth="1"/>
    <col min="23" max="23" width="1.5546875" style="152" customWidth="1"/>
    <col min="24" max="24" width="11.44140625" style="124" customWidth="1"/>
    <col min="25" max="25" width="9.88671875" style="152" bestFit="1" customWidth="1"/>
    <col min="26" max="26" width="11" style="152" bestFit="1" customWidth="1"/>
    <col min="27" max="71" width="9.33203125" style="152" customWidth="1"/>
    <col min="72" max="16384" width="9.109375" style="152"/>
  </cols>
  <sheetData>
    <row r="1" spans="1:25" x14ac:dyDescent="0.2">
      <c r="C1" s="153" t="s">
        <v>253</v>
      </c>
      <c r="D1" s="154"/>
    </row>
    <row r="2" spans="1:25" s="154" customFormat="1" ht="13.2" x14ac:dyDescent="0.25">
      <c r="A2" s="109"/>
      <c r="C2" s="155" t="s">
        <v>254</v>
      </c>
      <c r="E2" s="50" t="s">
        <v>255</v>
      </c>
      <c r="F2" s="50" t="s">
        <v>256</v>
      </c>
      <c r="G2" s="50" t="s">
        <v>257</v>
      </c>
      <c r="H2" s="50" t="s">
        <v>258</v>
      </c>
      <c r="I2" s="50" t="s">
        <v>259</v>
      </c>
      <c r="J2" s="50" t="s">
        <v>260</v>
      </c>
      <c r="K2" s="50" t="s">
        <v>261</v>
      </c>
      <c r="L2" s="50" t="s">
        <v>262</v>
      </c>
      <c r="M2" s="50" t="s">
        <v>263</v>
      </c>
      <c r="N2" s="50" t="s">
        <v>264</v>
      </c>
      <c r="O2" s="50" t="s">
        <v>265</v>
      </c>
      <c r="P2" s="50" t="s">
        <v>266</v>
      </c>
      <c r="Q2" s="50" t="s">
        <v>267</v>
      </c>
      <c r="R2" s="50" t="s">
        <v>268</v>
      </c>
      <c r="S2" s="50" t="s">
        <v>269</v>
      </c>
      <c r="T2" s="50" t="s">
        <v>270</v>
      </c>
      <c r="U2" s="50" t="s">
        <v>271</v>
      </c>
      <c r="V2" s="50" t="s">
        <v>272</v>
      </c>
      <c r="X2" s="125"/>
    </row>
    <row r="3" spans="1:25" s="154" customFormat="1" ht="13.5" customHeight="1" x14ac:dyDescent="0.2">
      <c r="A3" s="109"/>
      <c r="C3" s="112">
        <v>44377</v>
      </c>
      <c r="D3" s="113"/>
      <c r="X3" s="125"/>
    </row>
    <row r="4" spans="1:25" s="154" customFormat="1" ht="11.1" customHeight="1" x14ac:dyDescent="0.2">
      <c r="A4" s="109"/>
      <c r="C4" s="170" t="s">
        <v>350</v>
      </c>
      <c r="D4" s="113"/>
      <c r="X4" s="125"/>
    </row>
    <row r="5" spans="1:25" s="154" customFormat="1" x14ac:dyDescent="0.2">
      <c r="A5" s="109"/>
      <c r="C5" s="114" t="s">
        <v>315</v>
      </c>
      <c r="D5" s="113"/>
      <c r="M5" s="154" t="s">
        <v>345</v>
      </c>
      <c r="O5" s="154" t="s">
        <v>345</v>
      </c>
      <c r="Q5" s="154" t="s">
        <v>345</v>
      </c>
      <c r="X5" s="125" t="s">
        <v>292</v>
      </c>
    </row>
    <row r="6" spans="1:25" s="154" customFormat="1" ht="15" customHeight="1" x14ac:dyDescent="0.25">
      <c r="A6" s="109"/>
      <c r="C6" s="1" t="s">
        <v>30</v>
      </c>
      <c r="E6" s="156" t="s">
        <v>273</v>
      </c>
      <c r="F6" s="156" t="s">
        <v>274</v>
      </c>
      <c r="G6" s="156" t="s">
        <v>275</v>
      </c>
      <c r="H6" s="156" t="s">
        <v>276</v>
      </c>
      <c r="I6" s="156" t="s">
        <v>277</v>
      </c>
      <c r="J6" s="156" t="s">
        <v>278</v>
      </c>
      <c r="K6" s="156" t="s">
        <v>279</v>
      </c>
      <c r="L6" s="156" t="s">
        <v>280</v>
      </c>
      <c r="M6" s="156" t="s">
        <v>281</v>
      </c>
      <c r="N6" s="156" t="s">
        <v>282</v>
      </c>
      <c r="O6" s="156" t="s">
        <v>283</v>
      </c>
      <c r="P6" s="156" t="s">
        <v>284</v>
      </c>
      <c r="Q6" s="156" t="s">
        <v>285</v>
      </c>
      <c r="R6" s="156" t="s">
        <v>286</v>
      </c>
      <c r="S6" s="156" t="s">
        <v>287</v>
      </c>
      <c r="T6" s="156" t="s">
        <v>288</v>
      </c>
      <c r="U6" s="156" t="s">
        <v>289</v>
      </c>
      <c r="V6" s="156" t="s">
        <v>290</v>
      </c>
      <c r="W6" s="156"/>
      <c r="X6" s="126" t="s">
        <v>293</v>
      </c>
    </row>
    <row r="7" spans="1:25" s="154" customFormat="1" ht="13.5" customHeight="1" x14ac:dyDescent="0.25">
      <c r="A7" s="109">
        <v>3240</v>
      </c>
      <c r="B7" s="29">
        <v>100</v>
      </c>
      <c r="C7" s="14" t="s">
        <v>0</v>
      </c>
      <c r="E7" s="182"/>
      <c r="F7" s="179">
        <f>VLOOKUP(A7,'PYExhD Data'!$A$7:$V$41,6,FALSE)</f>
        <v>76127042</v>
      </c>
      <c r="G7" s="179">
        <f>VLOOKUP(A7,'PYExhD Data'!$A$7:$V$41,7,FALSE)</f>
        <v>72198827</v>
      </c>
      <c r="H7" s="182"/>
      <c r="I7" s="179">
        <f>VLOOKUP(A7,'PYExhD Data'!$A$7:$V$41,9,FALSE)</f>
        <v>21398398</v>
      </c>
      <c r="J7" s="179">
        <f>VLOOKUP(A7,'PYExhD Data'!$A$7:$V$41,10,FALSE)</f>
        <v>5639173</v>
      </c>
      <c r="K7" s="182"/>
      <c r="L7" s="179">
        <f>VLOOKUP(A7,'PYExhD Data'!$A$7:$V$41,12,FALSE)</f>
        <v>6722055</v>
      </c>
      <c r="M7" s="179">
        <f>VLOOKUP(A7,'PYExhD Data'!$A$7:$V$41,13,FALSE)</f>
        <v>30468965</v>
      </c>
      <c r="N7" s="182"/>
      <c r="O7" s="179">
        <f>VLOOKUP(A7,'PYExhD Data'!$A$7:$V$41,15,FALSE)</f>
        <v>0</v>
      </c>
      <c r="P7" s="187"/>
      <c r="Q7" s="179">
        <f>VLOOKUP(A7,'PYExhD Data'!$A$7:$V$41,17,FALSE)</f>
        <v>19964031</v>
      </c>
      <c r="R7" s="182"/>
      <c r="S7" s="182"/>
      <c r="T7" s="179">
        <f>VLOOKUP(A7,'PYExhD Data'!$A$7:$V$41,20,FALSE)</f>
        <v>8788232</v>
      </c>
      <c r="U7" s="179">
        <f>VLOOKUP(A7,'PYExhD Data'!$A$7:$V$41,21,FALSE)</f>
        <v>15113861</v>
      </c>
      <c r="V7" s="179">
        <f>VLOOKUP(A7,'PYExhD Data'!$A$7:$V$41,22,FALSE)</f>
        <v>16738494</v>
      </c>
      <c r="X7" s="124">
        <f t="shared" ref="X7:X17" si="0">SUM(E7:W7)</f>
        <v>273159078</v>
      </c>
    </row>
    <row r="8" spans="1:25" ht="13.5" customHeight="1" x14ac:dyDescent="0.25">
      <c r="A8" s="105">
        <v>3250</v>
      </c>
      <c r="B8" s="29">
        <v>105</v>
      </c>
      <c r="C8" s="14" t="s">
        <v>1</v>
      </c>
      <c r="D8" s="116"/>
      <c r="E8" s="182"/>
      <c r="F8" s="179">
        <f>VLOOKUP(A8,'PYExhD Data'!$A$7:$V$41,6,FALSE)</f>
        <v>1253780582</v>
      </c>
      <c r="G8" s="179">
        <f>VLOOKUP(A8,'PYExhD Data'!$A$7:$V$41,7,FALSE)</f>
        <v>37369739</v>
      </c>
      <c r="H8" s="182"/>
      <c r="I8" s="179">
        <f>VLOOKUP(A8,'PYExhD Data'!$A$7:$V$41,9,FALSE)</f>
        <v>10552383</v>
      </c>
      <c r="J8" s="179">
        <f>VLOOKUP(A8,'PYExhD Data'!$A$7:$V$41,10,FALSE)</f>
        <v>1483185</v>
      </c>
      <c r="K8" s="182"/>
      <c r="L8" s="179">
        <f>VLOOKUP(A8,'PYExhD Data'!$A$7:$V$41,12,FALSE)</f>
        <v>42642423</v>
      </c>
      <c r="M8" s="179">
        <f>VLOOKUP(A8,'PYExhD Data'!$A$7:$V$41,13,FALSE)</f>
        <v>214442</v>
      </c>
      <c r="N8" s="182"/>
      <c r="O8" s="179">
        <f>VLOOKUP(A8,'PYExhD Data'!$A$7:$V$41,15,FALSE)</f>
        <v>0</v>
      </c>
      <c r="P8" s="187"/>
      <c r="Q8" s="179">
        <f>VLOOKUP(A8,'PYExhD Data'!$A$7:$V$41,17,FALSE)</f>
        <v>19415426</v>
      </c>
      <c r="R8" s="182"/>
      <c r="S8" s="182"/>
      <c r="T8" s="179">
        <f>VLOOKUP(A8,'PYExhD Data'!$A$7:$V$41,20,FALSE)</f>
        <v>6386062</v>
      </c>
      <c r="U8" s="179">
        <f>VLOOKUP(A8,'PYExhD Data'!$A$7:$V$41,21,FALSE)</f>
        <v>822542</v>
      </c>
      <c r="V8" s="179">
        <f>VLOOKUP(A8,'PYExhD Data'!$A$7:$V$41,22,FALSE)</f>
        <v>0</v>
      </c>
      <c r="W8" s="120"/>
      <c r="X8" s="124">
        <f t="shared" si="0"/>
        <v>1372666784</v>
      </c>
      <c r="Y8" s="154"/>
    </row>
    <row r="9" spans="1:25" ht="13.5" customHeight="1" x14ac:dyDescent="0.25">
      <c r="A9" s="105">
        <v>3270</v>
      </c>
      <c r="B9" s="29">
        <v>110</v>
      </c>
      <c r="C9" s="14" t="s">
        <v>27</v>
      </c>
      <c r="D9" s="116"/>
      <c r="E9" s="182"/>
      <c r="F9" s="179">
        <f>VLOOKUP(A9,'PYExhD Data'!$A$7:$V$41,6,FALSE)</f>
        <v>78510606</v>
      </c>
      <c r="G9" s="179">
        <f>VLOOKUP(A9,'PYExhD Data'!$A$7:$V$41,7,FALSE)</f>
        <v>31462985</v>
      </c>
      <c r="H9" s="182"/>
      <c r="I9" s="179">
        <f>VLOOKUP(A9,'PYExhD Data'!$A$7:$V$41,9,FALSE)</f>
        <v>19747950</v>
      </c>
      <c r="J9" s="179">
        <f>VLOOKUP(A9,'PYExhD Data'!$A$7:$V$41,10,FALSE)</f>
        <v>1185750</v>
      </c>
      <c r="K9" s="182"/>
      <c r="L9" s="179">
        <f>VLOOKUP(A9,'PYExhD Data'!$A$7:$V$41,12,FALSE)</f>
        <v>7261550</v>
      </c>
      <c r="M9" s="179">
        <f>VLOOKUP(A9,'PYExhD Data'!$A$7:$V$41,13,FALSE)</f>
        <v>1178235</v>
      </c>
      <c r="N9" s="182"/>
      <c r="O9" s="179">
        <f>VLOOKUP(A9,'PYExhD Data'!$A$7:$V$41,15,FALSE)</f>
        <v>0</v>
      </c>
      <c r="P9" s="187"/>
      <c r="Q9" s="179">
        <f>VLOOKUP(A9,'PYExhD Data'!$A$7:$V$41,17,FALSE)</f>
        <v>184316</v>
      </c>
      <c r="R9" s="182"/>
      <c r="S9" s="182"/>
      <c r="T9" s="179">
        <f>VLOOKUP(A9,'PYExhD Data'!$A$7:$V$41,20,FALSE)</f>
        <v>5276076</v>
      </c>
      <c r="U9" s="179">
        <f>VLOOKUP(A9,'PYExhD Data'!$A$7:$V$41,21,FALSE)</f>
        <v>2378899</v>
      </c>
      <c r="V9" s="179">
        <f>VLOOKUP(A9,'PYExhD Data'!$A$7:$V$41,22,FALSE)</f>
        <v>5623870</v>
      </c>
      <c r="W9" s="120"/>
      <c r="X9" s="124">
        <f t="shared" si="0"/>
        <v>152810237</v>
      </c>
      <c r="Y9" s="154"/>
    </row>
    <row r="10" spans="1:25" ht="13.5" customHeight="1" x14ac:dyDescent="0.25">
      <c r="A10" s="105">
        <v>3285</v>
      </c>
      <c r="B10" s="29">
        <v>112</v>
      </c>
      <c r="C10" s="14" t="s">
        <v>352</v>
      </c>
      <c r="D10" s="117"/>
      <c r="E10" s="182"/>
      <c r="F10" s="179">
        <f>VLOOKUP(A10,'PYExhD Data'!$A$7:$V$41,6,FALSE)</f>
        <v>3042534</v>
      </c>
      <c r="G10" s="179">
        <f>VLOOKUP(A10,'PYExhD Data'!$A$7:$V$41,7,FALSE)</f>
        <v>0</v>
      </c>
      <c r="H10" s="182"/>
      <c r="I10" s="179">
        <f>VLOOKUP(A10,'PYExhD Data'!$A$7:$V$41,9,FALSE)</f>
        <v>70879731</v>
      </c>
      <c r="J10" s="179">
        <f>VLOOKUP(A10,'PYExhD Data'!$A$7:$V$41,10,FALSE)</f>
        <v>887907</v>
      </c>
      <c r="K10" s="182"/>
      <c r="L10" s="179">
        <f>VLOOKUP(A10,'PYExhD Data'!$A$7:$V$41,12,FALSE)</f>
        <v>0</v>
      </c>
      <c r="M10" s="179">
        <f>VLOOKUP(A10,'PYExhD Data'!$A$7:$V$41,13,FALSE)</f>
        <v>410375</v>
      </c>
      <c r="N10" s="182"/>
      <c r="O10" s="179">
        <f>VLOOKUP(A10,'PYExhD Data'!$A$7:$V$41,15,FALSE)</f>
        <v>0</v>
      </c>
      <c r="P10" s="187"/>
      <c r="Q10" s="179">
        <f>VLOOKUP(A10,'PYExhD Data'!$A$7:$V$41,17,FALSE)</f>
        <v>0</v>
      </c>
      <c r="R10" s="182"/>
      <c r="S10" s="182"/>
      <c r="T10" s="179">
        <f>VLOOKUP(A10,'PYExhD Data'!$A$7:$V$41,20,FALSE)</f>
        <v>2083</v>
      </c>
      <c r="U10" s="179">
        <f>VLOOKUP(A10,'PYExhD Data'!$A$7:$V$41,21,FALSE)</f>
        <v>0</v>
      </c>
      <c r="V10" s="179">
        <f>VLOOKUP(A10,'PYExhD Data'!$A$7:$V$41,22,FALSE)</f>
        <v>0</v>
      </c>
      <c r="W10" s="120"/>
      <c r="X10" s="124">
        <f t="shared" ref="X10" si="1">SUM(E10:W10)</f>
        <v>75222630</v>
      </c>
      <c r="Y10" s="154"/>
    </row>
    <row r="11" spans="1:25" ht="13.5" customHeight="1" x14ac:dyDescent="0.25">
      <c r="A11" s="105">
        <v>3310</v>
      </c>
      <c r="B11" s="29">
        <v>115</v>
      </c>
      <c r="C11" s="14" t="s">
        <v>28</v>
      </c>
      <c r="D11" s="117"/>
      <c r="E11" s="182"/>
      <c r="F11" s="179">
        <f>VLOOKUP(A11,'PYExhD Data'!$A$7:$V$41,6,FALSE)</f>
        <v>0</v>
      </c>
      <c r="G11" s="179">
        <f>VLOOKUP(A11,'PYExhD Data'!$A$7:$V$41,7,FALSE)</f>
        <v>0</v>
      </c>
      <c r="H11" s="182"/>
      <c r="I11" s="179">
        <f>VLOOKUP(A11,'PYExhD Data'!$A$7:$V$41,9,FALSE)</f>
        <v>0</v>
      </c>
      <c r="J11" s="179">
        <f>VLOOKUP(A11,'PYExhD Data'!$A$7:$V$41,10,FALSE)</f>
        <v>0</v>
      </c>
      <c r="K11" s="182"/>
      <c r="L11" s="179">
        <f>VLOOKUP(A11,'PYExhD Data'!$A$7:$V$41,12,FALSE)</f>
        <v>0</v>
      </c>
      <c r="M11" s="179">
        <f>VLOOKUP(A11,'PYExhD Data'!$A$7:$V$41,13,FALSE)</f>
        <v>0</v>
      </c>
      <c r="N11" s="182"/>
      <c r="O11" s="179">
        <f>VLOOKUP(A11,'PYExhD Data'!$A$7:$V$41,15,FALSE)</f>
        <v>0</v>
      </c>
      <c r="P11" s="187"/>
      <c r="Q11" s="179">
        <f>VLOOKUP(A11,'PYExhD Data'!$A$7:$V$41,17,FALSE)</f>
        <v>0</v>
      </c>
      <c r="R11" s="182"/>
      <c r="S11" s="182"/>
      <c r="T11" s="179">
        <f>VLOOKUP(A11,'PYExhD Data'!$A$7:$V$41,20,FALSE)</f>
        <v>0</v>
      </c>
      <c r="U11" s="179">
        <f>VLOOKUP(A11,'PYExhD Data'!$A$7:$V$41,21,FALSE)</f>
        <v>0</v>
      </c>
      <c r="V11" s="179">
        <f>VLOOKUP(A11,'PYExhD Data'!$A$7:$V$41,22,FALSE)</f>
        <v>0</v>
      </c>
      <c r="W11" s="120"/>
      <c r="X11" s="124">
        <f t="shared" si="0"/>
        <v>0</v>
      </c>
      <c r="Y11" s="154"/>
    </row>
    <row r="12" spans="1:25" ht="13.5" customHeight="1" x14ac:dyDescent="0.25">
      <c r="A12" s="105">
        <v>3320</v>
      </c>
      <c r="B12" s="29">
        <v>120</v>
      </c>
      <c r="C12" s="14" t="s">
        <v>347</v>
      </c>
      <c r="D12" s="118"/>
      <c r="E12" s="182"/>
      <c r="F12" s="179">
        <f>VLOOKUP(A12,'PYExhD Data'!$A$7:$V$41,6,FALSE)</f>
        <v>76189</v>
      </c>
      <c r="G12" s="179">
        <f>VLOOKUP(A12,'PYExhD Data'!$A$7:$V$41,7,FALSE)</f>
        <v>0</v>
      </c>
      <c r="H12" s="182"/>
      <c r="I12" s="179">
        <f>VLOOKUP(A12,'PYExhD Data'!$A$7:$V$41,9,FALSE)</f>
        <v>226367</v>
      </c>
      <c r="J12" s="179">
        <f>VLOOKUP(A12,'PYExhD Data'!$A$7:$V$41,10,FALSE)</f>
        <v>74462</v>
      </c>
      <c r="K12" s="182"/>
      <c r="L12" s="179">
        <f>VLOOKUP(A12,'PYExhD Data'!$A$7:$V$41,12,FALSE)</f>
        <v>19709</v>
      </c>
      <c r="M12" s="179">
        <f>VLOOKUP(A12,'PYExhD Data'!$A$7:$V$41,13,FALSE)</f>
        <v>0</v>
      </c>
      <c r="N12" s="182"/>
      <c r="O12" s="179">
        <f>VLOOKUP(A12,'PYExhD Data'!$A$7:$V$41,15,FALSE)</f>
        <v>0</v>
      </c>
      <c r="P12" s="187"/>
      <c r="Q12" s="179">
        <f>VLOOKUP(A12,'PYExhD Data'!$A$7:$V$41,17,FALSE)</f>
        <v>462655</v>
      </c>
      <c r="R12" s="182"/>
      <c r="S12" s="182"/>
      <c r="T12" s="179">
        <f>VLOOKUP(A12,'PYExhD Data'!$A$7:$V$41,20,FALSE)</f>
        <v>0</v>
      </c>
      <c r="U12" s="179">
        <f>VLOOKUP(A12,'PYExhD Data'!$A$7:$V$41,21,FALSE)</f>
        <v>12162</v>
      </c>
      <c r="V12" s="179">
        <f>VLOOKUP(A12,'PYExhD Data'!$A$7:$V$41,22,FALSE)</f>
        <v>0</v>
      </c>
      <c r="W12" s="120"/>
      <c r="X12" s="124">
        <f t="shared" si="0"/>
        <v>871544</v>
      </c>
      <c r="Y12" s="154"/>
    </row>
    <row r="13" spans="1:25" ht="13.5" customHeight="1" x14ac:dyDescent="0.25">
      <c r="A13" s="105">
        <v>3340</v>
      </c>
      <c r="B13" s="29">
        <v>125</v>
      </c>
      <c r="C13" s="14" t="s">
        <v>29</v>
      </c>
      <c r="D13" s="119"/>
      <c r="E13" s="182"/>
      <c r="F13" s="179">
        <f>VLOOKUP(A13,'PYExhD Data'!$A$7:$V$41,6,FALSE)</f>
        <v>0</v>
      </c>
      <c r="G13" s="179">
        <f>VLOOKUP(A13,'PYExhD Data'!$A$7:$V$41,7,FALSE)</f>
        <v>0</v>
      </c>
      <c r="H13" s="182"/>
      <c r="I13" s="179">
        <f>VLOOKUP(A13,'PYExhD Data'!$A$7:$V$41,9,FALSE)</f>
        <v>0</v>
      </c>
      <c r="J13" s="179">
        <f>VLOOKUP(A13,'PYExhD Data'!$A$7:$V$41,10,FALSE)</f>
        <v>0</v>
      </c>
      <c r="K13" s="182"/>
      <c r="L13" s="179">
        <f>VLOOKUP(A13,'PYExhD Data'!$A$7:$V$41,12,FALSE)</f>
        <v>0</v>
      </c>
      <c r="M13" s="179">
        <f>VLOOKUP(A13,'PYExhD Data'!$A$7:$V$41,13,FALSE)</f>
        <v>0</v>
      </c>
      <c r="N13" s="182"/>
      <c r="O13" s="179">
        <f>VLOOKUP(A13,'PYExhD Data'!$A$7:$V$41,15,FALSE)</f>
        <v>0</v>
      </c>
      <c r="P13" s="187"/>
      <c r="Q13" s="179">
        <f>VLOOKUP(A13,'PYExhD Data'!$A$7:$V$41,17,FALSE)</f>
        <v>0</v>
      </c>
      <c r="R13" s="182"/>
      <c r="S13" s="182"/>
      <c r="T13" s="179">
        <f>VLOOKUP(A13,'PYExhD Data'!$A$7:$V$41,20,FALSE)</f>
        <v>0</v>
      </c>
      <c r="U13" s="179">
        <f>VLOOKUP(A13,'PYExhD Data'!$A$7:$V$41,21,FALSE)</f>
        <v>16030</v>
      </c>
      <c r="V13" s="179">
        <f>VLOOKUP(A13,'PYExhD Data'!$A$7:$V$41,22,FALSE)</f>
        <v>0</v>
      </c>
      <c r="W13" s="120"/>
      <c r="X13" s="124">
        <f t="shared" si="0"/>
        <v>16030</v>
      </c>
      <c r="Y13" s="154"/>
    </row>
    <row r="14" spans="1:25" ht="13.5" customHeight="1" x14ac:dyDescent="0.25">
      <c r="A14" s="105">
        <v>3345</v>
      </c>
      <c r="B14" s="29">
        <v>128</v>
      </c>
      <c r="C14" s="14" t="s">
        <v>344</v>
      </c>
      <c r="D14" s="119"/>
      <c r="E14" s="182"/>
      <c r="F14" s="179">
        <f>VLOOKUP(A14,'PYExhD Data'!$A$7:$V$41,6,FALSE)</f>
        <v>0</v>
      </c>
      <c r="G14" s="179">
        <f>VLOOKUP(A14,'PYExhD Data'!$A$7:$V$41,7,FALSE)</f>
        <v>0</v>
      </c>
      <c r="H14" s="182"/>
      <c r="I14" s="179">
        <f>VLOOKUP(A14,'PYExhD Data'!$A$7:$V$41,9,FALSE)</f>
        <v>0</v>
      </c>
      <c r="J14" s="179">
        <f>VLOOKUP(A14,'PYExhD Data'!$A$7:$V$41,10,FALSE)</f>
        <v>0</v>
      </c>
      <c r="K14" s="182"/>
      <c r="L14" s="179">
        <f>VLOOKUP(A14,'PYExhD Data'!$A$7:$V$41,12,FALSE)</f>
        <v>0</v>
      </c>
      <c r="M14" s="179">
        <f>VLOOKUP(A14,'PYExhD Data'!$A$7:$V$41,13,FALSE)</f>
        <v>0</v>
      </c>
      <c r="N14" s="182"/>
      <c r="O14" s="179">
        <f>VLOOKUP(A14,'PYExhD Data'!$A$7:$V$41,15,FALSE)</f>
        <v>0</v>
      </c>
      <c r="P14" s="187"/>
      <c r="Q14" s="179">
        <f>VLOOKUP(A14,'PYExhD Data'!$A$7:$V$41,17,FALSE)</f>
        <v>30174072</v>
      </c>
      <c r="R14" s="182"/>
      <c r="S14" s="182"/>
      <c r="T14" s="179">
        <f>VLOOKUP(A14,'PYExhD Data'!$A$7:$V$41,20,FALSE)</f>
        <v>0</v>
      </c>
      <c r="U14" s="179">
        <f>VLOOKUP(A14,'PYExhD Data'!$A$7:$V$41,21,FALSE)</f>
        <v>0</v>
      </c>
      <c r="V14" s="179">
        <f>VLOOKUP(A14,'PYExhD Data'!$A$7:$V$41,22,FALSE)</f>
        <v>0</v>
      </c>
      <c r="W14" s="120"/>
      <c r="X14" s="124">
        <f>SUM(E14:W14)</f>
        <v>30174072</v>
      </c>
      <c r="Y14" s="154"/>
    </row>
    <row r="15" spans="1:25" ht="13.5" customHeight="1" x14ac:dyDescent="0.25">
      <c r="A15" s="105">
        <v>3350</v>
      </c>
      <c r="B15" s="29">
        <v>130</v>
      </c>
      <c r="C15" s="14" t="s">
        <v>215</v>
      </c>
      <c r="D15" s="119"/>
      <c r="E15" s="182"/>
      <c r="F15" s="179">
        <f>VLOOKUP(A15,'PYExhD Data'!$A$7:$V$41,6,FALSE)</f>
        <v>0</v>
      </c>
      <c r="G15" s="179">
        <f>VLOOKUP(A15,'PYExhD Data'!$A$7:$V$41,7,FALSE)</f>
        <v>726565308</v>
      </c>
      <c r="H15" s="182"/>
      <c r="I15" s="179">
        <f>VLOOKUP(A15,'PYExhD Data'!$A$7:$V$41,9,FALSE)</f>
        <v>173482162</v>
      </c>
      <c r="J15" s="179">
        <f>VLOOKUP(A15,'PYExhD Data'!$A$7:$V$41,10,FALSE)</f>
        <v>48286942</v>
      </c>
      <c r="K15" s="182"/>
      <c r="L15" s="179">
        <f>VLOOKUP(A15,'PYExhD Data'!$A$7:$V$41,12,FALSE)</f>
        <v>147199111</v>
      </c>
      <c r="M15" s="179">
        <f>VLOOKUP(A15,'PYExhD Data'!$A$7:$V$41,13,FALSE)</f>
        <v>18086034</v>
      </c>
      <c r="N15" s="182"/>
      <c r="O15" s="179">
        <f>VLOOKUP(A15,'PYExhD Data'!$A$7:$V$41,15,FALSE)</f>
        <v>0</v>
      </c>
      <c r="P15" s="187"/>
      <c r="Q15" s="179">
        <f>VLOOKUP(A15,'PYExhD Data'!$A$7:$V$41,17,FALSE)</f>
        <v>29967908</v>
      </c>
      <c r="R15" s="182"/>
      <c r="S15" s="182"/>
      <c r="T15" s="179">
        <f>VLOOKUP(A15,'PYExhD Data'!$A$7:$V$41,20,FALSE)</f>
        <v>17467315</v>
      </c>
      <c r="U15" s="179">
        <f>VLOOKUP(A15,'PYExhD Data'!$A$7:$V$41,21,FALSE)</f>
        <v>81723885</v>
      </c>
      <c r="V15" s="179">
        <f>VLOOKUP(A15,'PYExhD Data'!$A$7:$V$41,22,FALSE)</f>
        <v>18319188</v>
      </c>
      <c r="W15" s="120"/>
      <c r="X15" s="124">
        <f t="shared" si="0"/>
        <v>1261097853</v>
      </c>
      <c r="Y15" s="154"/>
    </row>
    <row r="16" spans="1:25" ht="13.5" customHeight="1" x14ac:dyDescent="0.25">
      <c r="A16" s="105">
        <v>3370</v>
      </c>
      <c r="B16" s="29">
        <v>140</v>
      </c>
      <c r="C16" s="14" t="s">
        <v>66</v>
      </c>
      <c r="D16" s="116"/>
      <c r="E16" s="182"/>
      <c r="F16" s="179">
        <f>VLOOKUP(A16,'PYExhD Data'!$A$7:$V$41,6,FALSE)</f>
        <v>0</v>
      </c>
      <c r="G16" s="179">
        <f>VLOOKUP(A16,'PYExhD Data'!$A$7:$V$41,7,FALSE)</f>
        <v>32018845</v>
      </c>
      <c r="H16" s="182"/>
      <c r="I16" s="179">
        <f>VLOOKUP(A16,'PYExhD Data'!$A$7:$V$41,9,FALSE)</f>
        <v>0</v>
      </c>
      <c r="J16" s="179">
        <f>VLOOKUP(A16,'PYExhD Data'!$A$7:$V$41,10,FALSE)</f>
        <v>1891926</v>
      </c>
      <c r="K16" s="182"/>
      <c r="L16" s="179">
        <f>VLOOKUP(A16,'PYExhD Data'!$A$7:$V$41,12,FALSE)</f>
        <v>3014381</v>
      </c>
      <c r="M16" s="179">
        <f>VLOOKUP(A16,'PYExhD Data'!$A$7:$V$41,13,FALSE)</f>
        <v>13929638</v>
      </c>
      <c r="N16" s="182"/>
      <c r="O16" s="179">
        <f>VLOOKUP(A16,'PYExhD Data'!$A$7:$V$41,15,FALSE)</f>
        <v>0</v>
      </c>
      <c r="P16" s="187"/>
      <c r="Q16" s="179">
        <f>VLOOKUP(A16,'PYExhD Data'!$A$7:$V$41,17,FALSE)</f>
        <v>1283539</v>
      </c>
      <c r="R16" s="182"/>
      <c r="S16" s="182"/>
      <c r="T16" s="179">
        <f>VLOOKUP(A16,'PYExhD Data'!$A$7:$V$41,20,FALSE)</f>
        <v>174868</v>
      </c>
      <c r="U16" s="179">
        <f>VLOOKUP(A16,'PYExhD Data'!$A$7:$V$41,21,FALSE)</f>
        <v>47442</v>
      </c>
      <c r="V16" s="179">
        <f>VLOOKUP(A16,'PYExhD Data'!$A$7:$V$41,22,FALSE)</f>
        <v>101945</v>
      </c>
      <c r="W16" s="120"/>
      <c r="X16" s="124">
        <f t="shared" si="0"/>
        <v>52462584</v>
      </c>
      <c r="Y16" s="154"/>
    </row>
    <row r="17" spans="1:25" ht="13.5" customHeight="1" x14ac:dyDescent="0.25">
      <c r="A17" s="105">
        <v>3380</v>
      </c>
      <c r="B17" s="29">
        <v>145</v>
      </c>
      <c r="C17" s="14" t="s">
        <v>67</v>
      </c>
      <c r="D17" s="116"/>
      <c r="E17" s="182"/>
      <c r="F17" s="179">
        <f>VLOOKUP(A17,'PYExhD Data'!$A$7:$V$41,6,FALSE)</f>
        <v>6415541</v>
      </c>
      <c r="G17" s="179">
        <f>VLOOKUP(A17,'PYExhD Data'!$A$7:$V$41,7,FALSE)</f>
        <v>5928078</v>
      </c>
      <c r="H17" s="182"/>
      <c r="I17" s="179">
        <f>VLOOKUP(A17,'PYExhD Data'!$A$7:$V$41,9,FALSE)</f>
        <v>46734</v>
      </c>
      <c r="J17" s="179">
        <f>VLOOKUP(A17,'PYExhD Data'!$A$7:$V$41,10,FALSE)</f>
        <v>1939182</v>
      </c>
      <c r="K17" s="182"/>
      <c r="L17" s="179">
        <f>VLOOKUP(A17,'PYExhD Data'!$A$7:$V$41,12,FALSE)</f>
        <v>4700527</v>
      </c>
      <c r="M17" s="179">
        <f>VLOOKUP(A17,'PYExhD Data'!$A$7:$V$41,13,FALSE)</f>
        <v>89818991</v>
      </c>
      <c r="N17" s="182"/>
      <c r="O17" s="179">
        <f>VLOOKUP(A17,'PYExhD Data'!$A$7:$V$41,15,FALSE)</f>
        <v>0</v>
      </c>
      <c r="P17" s="187"/>
      <c r="Q17" s="179">
        <f>VLOOKUP(A17,'PYExhD Data'!$A$7:$V$41,17,FALSE)</f>
        <v>0</v>
      </c>
      <c r="R17" s="182"/>
      <c r="S17" s="182"/>
      <c r="T17" s="179">
        <f>VLOOKUP(A17,'PYExhD Data'!$A$7:$V$41,20,FALSE)</f>
        <v>0</v>
      </c>
      <c r="U17" s="179">
        <f>VLOOKUP(A17,'PYExhD Data'!$A$7:$V$41,21,FALSE)</f>
        <v>0</v>
      </c>
      <c r="V17" s="179">
        <f>VLOOKUP(A17,'PYExhD Data'!$A$7:$V$41,22,FALSE)</f>
        <v>0</v>
      </c>
      <c r="W17" s="123"/>
      <c r="X17" s="127">
        <f t="shared" si="0"/>
        <v>108849053</v>
      </c>
      <c r="Y17" s="154"/>
    </row>
    <row r="18" spans="1:25" ht="15" customHeight="1" x14ac:dyDescent="0.25">
      <c r="C18" s="1" t="s">
        <v>6</v>
      </c>
      <c r="D18" s="116"/>
      <c r="E18" s="166">
        <f t="shared" ref="E18:V18" si="2">SUM(E7:E17)</f>
        <v>0</v>
      </c>
      <c r="F18" s="166">
        <f t="shared" si="2"/>
        <v>1417952494</v>
      </c>
      <c r="G18" s="166">
        <f t="shared" si="2"/>
        <v>905543782</v>
      </c>
      <c r="H18" s="166">
        <f t="shared" si="2"/>
        <v>0</v>
      </c>
      <c r="I18" s="166">
        <f t="shared" si="2"/>
        <v>296333725</v>
      </c>
      <c r="J18" s="166">
        <f t="shared" si="2"/>
        <v>61388527</v>
      </c>
      <c r="K18" s="166">
        <f t="shared" si="2"/>
        <v>0</v>
      </c>
      <c r="L18" s="166">
        <f t="shared" si="2"/>
        <v>211559756</v>
      </c>
      <c r="M18" s="166">
        <f t="shared" si="2"/>
        <v>154106680</v>
      </c>
      <c r="N18" s="166">
        <f t="shared" si="2"/>
        <v>0</v>
      </c>
      <c r="O18" s="166">
        <f t="shared" si="2"/>
        <v>0</v>
      </c>
      <c r="P18" s="166">
        <f t="shared" si="2"/>
        <v>0</v>
      </c>
      <c r="Q18" s="166">
        <f t="shared" si="2"/>
        <v>101451947</v>
      </c>
      <c r="R18" s="166">
        <f t="shared" si="2"/>
        <v>0</v>
      </c>
      <c r="S18" s="166">
        <f t="shared" si="2"/>
        <v>0</v>
      </c>
      <c r="T18" s="166">
        <f t="shared" si="2"/>
        <v>38094636</v>
      </c>
      <c r="U18" s="166">
        <f t="shared" si="2"/>
        <v>100114821</v>
      </c>
      <c r="V18" s="166">
        <f t="shared" si="2"/>
        <v>40783497</v>
      </c>
      <c r="W18" s="157"/>
      <c r="X18" s="123">
        <f>SUM(X7:X17)</f>
        <v>3327329865</v>
      </c>
      <c r="Y18" s="154"/>
    </row>
    <row r="19" spans="1:25" ht="10.5" customHeight="1" x14ac:dyDescent="0.2">
      <c r="C19" s="116"/>
      <c r="D19" s="116"/>
      <c r="E19" s="167"/>
      <c r="F19" s="167"/>
      <c r="G19" s="167"/>
      <c r="H19" s="167"/>
      <c r="I19" s="167"/>
      <c r="J19" s="167"/>
      <c r="K19" s="167"/>
      <c r="L19" s="167"/>
      <c r="M19" s="167"/>
      <c r="N19" s="167"/>
      <c r="O19" s="167"/>
      <c r="P19" s="167"/>
      <c r="Q19" s="167"/>
      <c r="R19" s="167"/>
      <c r="S19" s="167"/>
      <c r="T19" s="167"/>
      <c r="U19" s="167"/>
      <c r="V19" s="167"/>
      <c r="W19" s="120"/>
      <c r="Y19" s="154"/>
    </row>
    <row r="20" spans="1:25" ht="15" customHeight="1" x14ac:dyDescent="0.25">
      <c r="C20" s="1" t="s">
        <v>37</v>
      </c>
      <c r="D20" s="116"/>
      <c r="E20" s="167"/>
      <c r="F20" s="167"/>
      <c r="G20" s="167"/>
      <c r="H20" s="167"/>
      <c r="I20" s="167"/>
      <c r="J20" s="167"/>
      <c r="K20" s="167"/>
      <c r="L20" s="167"/>
      <c r="M20" s="167"/>
      <c r="N20" s="167"/>
      <c r="O20" s="167"/>
      <c r="P20" s="167"/>
      <c r="Q20" s="167"/>
      <c r="R20" s="167"/>
      <c r="S20" s="167"/>
      <c r="T20" s="167"/>
      <c r="U20" s="167"/>
      <c r="V20" s="167"/>
      <c r="W20" s="120"/>
      <c r="X20" s="120"/>
      <c r="Y20" s="154"/>
    </row>
    <row r="21" spans="1:25" ht="13.5" customHeight="1" x14ac:dyDescent="0.25">
      <c r="A21" s="105">
        <v>3430</v>
      </c>
      <c r="B21" s="36">
        <v>200</v>
      </c>
      <c r="C21" s="14" t="s">
        <v>38</v>
      </c>
      <c r="D21" s="116"/>
      <c r="E21" s="182"/>
      <c r="F21" s="179">
        <f>VLOOKUP(A21,'PYExhD Data'!$A$7:$V$41,6,FALSE)</f>
        <v>1570952</v>
      </c>
      <c r="G21" s="179">
        <f>VLOOKUP(A21,'PYExhD Data'!$A$7:$V$41,7,FALSE)</f>
        <v>490787</v>
      </c>
      <c r="H21" s="182"/>
      <c r="I21" s="179">
        <f>VLOOKUP(A21,'PYExhD Data'!$A$7:$V$41,9,FALSE)</f>
        <v>624449</v>
      </c>
      <c r="J21" s="179">
        <f>VLOOKUP(A21,'PYExhD Data'!$A$7:$V$41,10,FALSE)</f>
        <v>729334</v>
      </c>
      <c r="K21" s="182"/>
      <c r="L21" s="179">
        <f>VLOOKUP(A21,'PYExhD Data'!$A$7:$V$41,12,FALSE)</f>
        <v>2425816</v>
      </c>
      <c r="M21" s="179">
        <f>VLOOKUP(A21,'PYExhD Data'!$A$7:$V$41,13,FALSE)</f>
        <v>2646748</v>
      </c>
      <c r="N21" s="182"/>
      <c r="O21" s="179">
        <f>VLOOKUP(A21,'PYExhD Data'!$A$7:$V$41,15,FALSE)</f>
        <v>0</v>
      </c>
      <c r="P21" s="187"/>
      <c r="Q21" s="179">
        <f>VLOOKUP(A21,'PYExhD Data'!$A$7:$V$41,17,FALSE)</f>
        <v>526915</v>
      </c>
      <c r="R21" s="182"/>
      <c r="S21" s="182"/>
      <c r="T21" s="179">
        <f>VLOOKUP(A21,'PYExhD Data'!$A$7:$V$41,20,FALSE)</f>
        <v>209212</v>
      </c>
      <c r="U21" s="179">
        <f>VLOOKUP(A21,'PYExhD Data'!$A$7:$V$41,21,FALSE)</f>
        <v>130604</v>
      </c>
      <c r="V21" s="179">
        <f>VLOOKUP(A21,'PYExhD Data'!$A$7:$V$41,22,FALSE)</f>
        <v>751968</v>
      </c>
      <c r="W21" s="120"/>
      <c r="X21" s="124">
        <f t="shared" ref="X21:X30" si="3">SUM(E21:W21)</f>
        <v>10106785</v>
      </c>
      <c r="Y21" s="154"/>
    </row>
    <row r="22" spans="1:25" ht="15" customHeight="1" x14ac:dyDescent="0.25">
      <c r="A22" s="105">
        <v>3432</v>
      </c>
      <c r="B22" s="173">
        <v>202</v>
      </c>
      <c r="C22" s="174" t="s">
        <v>291</v>
      </c>
      <c r="D22" s="194"/>
      <c r="E22" s="182"/>
      <c r="F22" s="179">
        <f>VLOOKUP(A22,'PYExhD Data'!$A$7:$V$41,6,FALSE)</f>
        <v>0</v>
      </c>
      <c r="G22" s="179">
        <f>VLOOKUP(A22,'PYExhD Data'!$A$7:$V$41,7,FALSE)</f>
        <v>3674050</v>
      </c>
      <c r="H22" s="182"/>
      <c r="I22" s="179">
        <f>VLOOKUP(A22,'PYExhD Data'!$A$7:$V$41,9,FALSE)</f>
        <v>0</v>
      </c>
      <c r="J22" s="179">
        <f>VLOOKUP(A22,'PYExhD Data'!$A$7:$V$41,10,FALSE)</f>
        <v>0</v>
      </c>
      <c r="K22" s="182"/>
      <c r="L22" s="179">
        <f>VLOOKUP(A22,'PYExhD Data'!$A$7:$V$41,12,FALSE)</f>
        <v>47044</v>
      </c>
      <c r="M22" s="179">
        <f>VLOOKUP(A22,'PYExhD Data'!$A$7:$V$41,13,FALSE)</f>
        <v>911941</v>
      </c>
      <c r="N22" s="182"/>
      <c r="O22" s="179">
        <f>VLOOKUP(A22,'PYExhD Data'!$A$7:$V$41,15,FALSE)</f>
        <v>0</v>
      </c>
      <c r="P22" s="187"/>
      <c r="Q22" s="179">
        <f>VLOOKUP(A22,'PYExhD Data'!$A$7:$V$41,17,FALSE)</f>
        <v>0</v>
      </c>
      <c r="R22" s="182"/>
      <c r="S22" s="182"/>
      <c r="T22" s="179">
        <f>VLOOKUP(A22,'PYExhD Data'!$A$7:$V$41,20,FALSE)</f>
        <v>3196</v>
      </c>
      <c r="U22" s="179">
        <f>VLOOKUP(A22,'PYExhD Data'!$A$7:$V$41,21,FALSE)</f>
        <v>47466</v>
      </c>
      <c r="V22" s="179">
        <f>VLOOKUP(A22,'PYExhD Data'!$A$7:$V$41,22,FALSE)</f>
        <v>1308383</v>
      </c>
      <c r="W22" s="159"/>
      <c r="X22" s="128">
        <f t="shared" si="3"/>
        <v>5992080</v>
      </c>
      <c r="Y22" s="154"/>
    </row>
    <row r="23" spans="1:25" ht="14.25" customHeight="1" x14ac:dyDescent="0.2">
      <c r="A23" s="105">
        <v>3434</v>
      </c>
      <c r="B23" s="173">
        <v>203</v>
      </c>
      <c r="C23" s="175" t="s">
        <v>314</v>
      </c>
      <c r="D23" s="121"/>
      <c r="E23" s="182"/>
      <c r="F23" s="179">
        <f>VLOOKUP(A23,'PYExhD Data'!$A$7:$V$41,6,FALSE)</f>
        <v>0</v>
      </c>
      <c r="G23" s="179">
        <f>VLOOKUP(A23,'PYExhD Data'!$A$7:$V$41,7,FALSE)</f>
        <v>0</v>
      </c>
      <c r="H23" s="182"/>
      <c r="I23" s="179">
        <f>VLOOKUP(A23,'PYExhD Data'!$A$7:$V$41,9,FALSE)</f>
        <v>0</v>
      </c>
      <c r="J23" s="179">
        <f>VLOOKUP(A23,'PYExhD Data'!$A$7:$V$41,10,FALSE)</f>
        <v>0</v>
      </c>
      <c r="K23" s="182"/>
      <c r="L23" s="179">
        <f>VLOOKUP(A23,'PYExhD Data'!$A$7:$V$41,12,FALSE)</f>
        <v>0</v>
      </c>
      <c r="M23" s="179">
        <f>VLOOKUP(A23,'PYExhD Data'!$A$7:$V$41,13,FALSE)</f>
        <v>0</v>
      </c>
      <c r="N23" s="182"/>
      <c r="O23" s="179">
        <f>VLOOKUP(A23,'PYExhD Data'!$A$7:$V$41,15,FALSE)</f>
        <v>0</v>
      </c>
      <c r="P23" s="187"/>
      <c r="Q23" s="179">
        <f>VLOOKUP(A23,'PYExhD Data'!$A$7:$V$41,17,FALSE)</f>
        <v>0</v>
      </c>
      <c r="R23" s="182"/>
      <c r="S23" s="182"/>
      <c r="T23" s="179">
        <f>VLOOKUP(A23,'PYExhD Data'!$A$7:$V$41,20,FALSE)</f>
        <v>0</v>
      </c>
      <c r="U23" s="179">
        <f>VLOOKUP(A23,'PYExhD Data'!$A$7:$V$41,21,FALSE)</f>
        <v>0</v>
      </c>
      <c r="V23" s="179">
        <f>VLOOKUP(A23,'PYExhD Data'!$A$7:$V$41,22,FALSE)</f>
        <v>0</v>
      </c>
      <c r="W23" s="159"/>
      <c r="X23" s="128">
        <f t="shared" si="3"/>
        <v>0</v>
      </c>
      <c r="Y23" s="154"/>
    </row>
    <row r="24" spans="1:25" ht="13.5" customHeight="1" x14ac:dyDescent="0.25">
      <c r="A24" s="105">
        <v>3500</v>
      </c>
      <c r="B24" s="36">
        <v>205</v>
      </c>
      <c r="C24" s="14" t="s">
        <v>214</v>
      </c>
      <c r="D24" s="122"/>
      <c r="E24" s="182"/>
      <c r="F24" s="179">
        <f>VLOOKUP(A24,'PYExhD Data'!$A$7:$V$41,6,FALSE)</f>
        <v>0</v>
      </c>
      <c r="G24" s="179">
        <f>VLOOKUP(A24,'PYExhD Data'!$A$7:$V$41,7,FALSE)</f>
        <v>252524</v>
      </c>
      <c r="H24" s="182"/>
      <c r="I24" s="179">
        <f>VLOOKUP(A24,'PYExhD Data'!$A$7:$V$41,9,FALSE)</f>
        <v>0</v>
      </c>
      <c r="J24" s="179">
        <f>VLOOKUP(A24,'PYExhD Data'!$A$7:$V$41,10,FALSE)</f>
        <v>207942</v>
      </c>
      <c r="K24" s="182"/>
      <c r="L24" s="179">
        <f>VLOOKUP(A24,'PYExhD Data'!$A$7:$V$41,12,FALSE)</f>
        <v>0</v>
      </c>
      <c r="M24" s="179">
        <f>VLOOKUP(A24,'PYExhD Data'!$A$7:$V$41,13,FALSE)</f>
        <v>0</v>
      </c>
      <c r="N24" s="182"/>
      <c r="O24" s="179">
        <f>VLOOKUP(A24,'PYExhD Data'!$A$7:$V$41,15,FALSE)</f>
        <v>0</v>
      </c>
      <c r="P24" s="187"/>
      <c r="Q24" s="179">
        <f>VLOOKUP(A24,'PYExhD Data'!$A$7:$V$41,17,FALSE)</f>
        <v>0</v>
      </c>
      <c r="R24" s="182"/>
      <c r="S24" s="182"/>
      <c r="T24" s="179">
        <f>VLOOKUP(A24,'PYExhD Data'!$A$7:$V$41,20,FALSE)</f>
        <v>0</v>
      </c>
      <c r="U24" s="179">
        <f>VLOOKUP(A24,'PYExhD Data'!$A$7:$V$41,21,FALSE)</f>
        <v>0</v>
      </c>
      <c r="V24" s="179">
        <f>VLOOKUP(A24,'PYExhD Data'!$A$7:$V$41,22,FALSE)</f>
        <v>0</v>
      </c>
      <c r="W24" s="120"/>
      <c r="X24" s="124">
        <f t="shared" si="3"/>
        <v>460466</v>
      </c>
      <c r="Y24" s="154"/>
    </row>
    <row r="25" spans="1:25" ht="13.5" customHeight="1" x14ac:dyDescent="0.25">
      <c r="A25" s="105">
        <v>3550</v>
      </c>
      <c r="B25" s="36">
        <v>210</v>
      </c>
      <c r="C25" s="14" t="s">
        <v>10</v>
      </c>
      <c r="D25" s="116"/>
      <c r="E25" s="182"/>
      <c r="F25" s="179">
        <f>VLOOKUP(A25,'PYExhD Data'!$A$7:$V$41,6,FALSE)</f>
        <v>0</v>
      </c>
      <c r="G25" s="179">
        <f>VLOOKUP(A25,'PYExhD Data'!$A$7:$V$41,7,FALSE)</f>
        <v>0</v>
      </c>
      <c r="H25" s="182"/>
      <c r="I25" s="179">
        <f>VLOOKUP(A25,'PYExhD Data'!$A$7:$V$41,9,FALSE)</f>
        <v>0</v>
      </c>
      <c r="J25" s="179">
        <f>VLOOKUP(A25,'PYExhD Data'!$A$7:$V$41,10,FALSE)</f>
        <v>0</v>
      </c>
      <c r="K25" s="182"/>
      <c r="L25" s="179">
        <f>VLOOKUP(A25,'PYExhD Data'!$A$7:$V$41,12,FALSE)</f>
        <v>0</v>
      </c>
      <c r="M25" s="179">
        <f>VLOOKUP(A25,'PYExhD Data'!$A$7:$V$41,13,FALSE)</f>
        <v>0</v>
      </c>
      <c r="N25" s="182"/>
      <c r="O25" s="179">
        <f>VLOOKUP(A25,'PYExhD Data'!$A$7:$V$41,15,FALSE)</f>
        <v>0</v>
      </c>
      <c r="P25" s="187"/>
      <c r="Q25" s="179">
        <f>VLOOKUP(A25,'PYExhD Data'!$A$7:$V$41,17,FALSE)</f>
        <v>0</v>
      </c>
      <c r="R25" s="182"/>
      <c r="S25" s="182"/>
      <c r="T25" s="179">
        <f>VLOOKUP(A25,'PYExhD Data'!$A$7:$V$41,20,FALSE)</f>
        <v>0</v>
      </c>
      <c r="U25" s="179">
        <f>VLOOKUP(A25,'PYExhD Data'!$A$7:$V$41,21,FALSE)</f>
        <v>0</v>
      </c>
      <c r="V25" s="179">
        <f>VLOOKUP(A25,'PYExhD Data'!$A$7:$V$41,22,FALSE)</f>
        <v>0</v>
      </c>
      <c r="W25" s="160"/>
      <c r="X25" s="124">
        <f t="shared" si="3"/>
        <v>0</v>
      </c>
      <c r="Y25" s="154"/>
    </row>
    <row r="26" spans="1:25" ht="13.5" customHeight="1" x14ac:dyDescent="0.25">
      <c r="A26" s="105">
        <v>3530</v>
      </c>
      <c r="B26" s="36">
        <v>215</v>
      </c>
      <c r="C26" s="14" t="s">
        <v>11</v>
      </c>
      <c r="D26" s="116"/>
      <c r="E26" s="182"/>
      <c r="F26" s="179">
        <f>VLOOKUP(A26,'PYExhD Data'!$A$7:$V$41,6,FALSE)</f>
        <v>0</v>
      </c>
      <c r="G26" s="179">
        <f>VLOOKUP(A26,'PYExhD Data'!$A$7:$V$41,7,FALSE)</f>
        <v>0</v>
      </c>
      <c r="H26" s="182"/>
      <c r="I26" s="179">
        <f>VLOOKUP(A26,'PYExhD Data'!$A$7:$V$41,9,FALSE)</f>
        <v>0</v>
      </c>
      <c r="J26" s="179">
        <f>VLOOKUP(A26,'PYExhD Data'!$A$7:$V$41,10,FALSE)</f>
        <v>0</v>
      </c>
      <c r="K26" s="182"/>
      <c r="L26" s="179">
        <f>VLOOKUP(A26,'PYExhD Data'!$A$7:$V$41,12,FALSE)</f>
        <v>0</v>
      </c>
      <c r="M26" s="179">
        <f>VLOOKUP(A26,'PYExhD Data'!$A$7:$V$41,13,FALSE)</f>
        <v>0</v>
      </c>
      <c r="N26" s="182"/>
      <c r="O26" s="179">
        <f>VLOOKUP(A26,'PYExhD Data'!$A$7:$V$41,15,FALSE)</f>
        <v>0</v>
      </c>
      <c r="P26" s="187"/>
      <c r="Q26" s="179">
        <f>VLOOKUP(A26,'PYExhD Data'!$A$7:$V$41,17,FALSE)</f>
        <v>0</v>
      </c>
      <c r="R26" s="182"/>
      <c r="S26" s="182"/>
      <c r="T26" s="179">
        <f>VLOOKUP(A26,'PYExhD Data'!$A$7:$V$41,20,FALSE)</f>
        <v>0</v>
      </c>
      <c r="U26" s="179">
        <f>VLOOKUP(A26,'PYExhD Data'!$A$7:$V$41,21,FALSE)</f>
        <v>0</v>
      </c>
      <c r="V26" s="179">
        <f>VLOOKUP(A26,'PYExhD Data'!$A$7:$V$41,22,FALSE)</f>
        <v>0</v>
      </c>
      <c r="W26" s="160"/>
      <c r="X26" s="124">
        <f t="shared" si="3"/>
        <v>0</v>
      </c>
      <c r="Y26" s="154"/>
    </row>
    <row r="27" spans="1:25" ht="13.5" customHeight="1" x14ac:dyDescent="0.25">
      <c r="A27" s="105">
        <v>3540</v>
      </c>
      <c r="B27" s="36">
        <v>220</v>
      </c>
      <c r="C27" s="14" t="s">
        <v>70</v>
      </c>
      <c r="D27" s="116"/>
      <c r="E27" s="182"/>
      <c r="F27" s="179">
        <f>VLOOKUP(A27,'PYExhD Data'!$A$7:$V$41,6,FALSE)</f>
        <v>0</v>
      </c>
      <c r="G27" s="179">
        <f>VLOOKUP(A27,'PYExhD Data'!$A$7:$V$41,7,FALSE)</f>
        <v>88075</v>
      </c>
      <c r="H27" s="182"/>
      <c r="I27" s="179">
        <f>VLOOKUP(A27,'PYExhD Data'!$A$7:$V$41,9,FALSE)</f>
        <v>259949</v>
      </c>
      <c r="J27" s="179">
        <f>VLOOKUP(A27,'PYExhD Data'!$A$7:$V$41,10,FALSE)</f>
        <v>0</v>
      </c>
      <c r="K27" s="182"/>
      <c r="L27" s="179">
        <f>VLOOKUP(A27,'PYExhD Data'!$A$7:$V$41,12,FALSE)</f>
        <v>0</v>
      </c>
      <c r="M27" s="179">
        <f>VLOOKUP(A27,'PYExhD Data'!$A$7:$V$41,13,FALSE)</f>
        <v>1657645</v>
      </c>
      <c r="N27" s="182"/>
      <c r="O27" s="179">
        <f>VLOOKUP(A27,'PYExhD Data'!$A$7:$V$41,15,FALSE)</f>
        <v>0</v>
      </c>
      <c r="P27" s="187"/>
      <c r="Q27" s="179">
        <f>VLOOKUP(A27,'PYExhD Data'!$A$7:$V$41,17,FALSE)</f>
        <v>0</v>
      </c>
      <c r="R27" s="182"/>
      <c r="S27" s="182"/>
      <c r="T27" s="179">
        <f>VLOOKUP(A27,'PYExhD Data'!$A$7:$V$41,20,FALSE)</f>
        <v>125596</v>
      </c>
      <c r="U27" s="179">
        <f>VLOOKUP(A27,'PYExhD Data'!$A$7:$V$41,21,FALSE)</f>
        <v>0</v>
      </c>
      <c r="V27" s="179">
        <f>VLOOKUP(A27,'PYExhD Data'!$A$7:$V$41,22,FALSE)</f>
        <v>0</v>
      </c>
      <c r="W27" s="160"/>
      <c r="X27" s="124">
        <f t="shared" si="3"/>
        <v>2131265</v>
      </c>
      <c r="Y27" s="154"/>
    </row>
    <row r="28" spans="1:25" ht="13.5" customHeight="1" x14ac:dyDescent="0.25">
      <c r="B28" s="36"/>
      <c r="C28" s="14" t="s">
        <v>139</v>
      </c>
      <c r="D28" s="116"/>
      <c r="E28" s="182"/>
      <c r="F28" s="179"/>
      <c r="G28" s="179"/>
      <c r="H28" s="182"/>
      <c r="I28" s="179"/>
      <c r="J28" s="179"/>
      <c r="K28" s="182"/>
      <c r="L28" s="179"/>
      <c r="M28" s="179"/>
      <c r="N28" s="182"/>
      <c r="O28" s="179"/>
      <c r="P28" s="187"/>
      <c r="Q28" s="179"/>
      <c r="R28" s="182"/>
      <c r="S28" s="182"/>
      <c r="T28" s="179"/>
      <c r="U28" s="179"/>
      <c r="V28" s="179"/>
      <c r="W28" s="160"/>
      <c r="X28" s="124">
        <f>SUM(E28:W28)</f>
        <v>0</v>
      </c>
      <c r="Y28" s="154"/>
    </row>
    <row r="29" spans="1:25" ht="13.5" customHeight="1" x14ac:dyDescent="0.25">
      <c r="A29" s="105">
        <v>3570</v>
      </c>
      <c r="B29" s="36">
        <v>260</v>
      </c>
      <c r="C29" s="59" t="s">
        <v>138</v>
      </c>
      <c r="D29" s="116"/>
      <c r="E29" s="182"/>
      <c r="F29" s="179">
        <f>VLOOKUP(A29,'PYExhD Data'!$A$7:$V$41,6,FALSE)</f>
        <v>172983</v>
      </c>
      <c r="G29" s="179">
        <f>VLOOKUP(A29,'PYExhD Data'!$A$7:$V$41,7,FALSE)</f>
        <v>1316404</v>
      </c>
      <c r="H29" s="182"/>
      <c r="I29" s="179">
        <f>VLOOKUP(A29,'PYExhD Data'!$A$7:$V$41,9,FALSE)</f>
        <v>210250</v>
      </c>
      <c r="J29" s="179">
        <f>VLOOKUP(A29,'PYExhD Data'!$A$7:$V$41,10,FALSE)</f>
        <v>163964</v>
      </c>
      <c r="K29" s="182"/>
      <c r="L29" s="179">
        <f>VLOOKUP(A29,'PYExhD Data'!$A$7:$V$41,12,FALSE)</f>
        <v>457487</v>
      </c>
      <c r="M29" s="179">
        <f>VLOOKUP(A29,'PYExhD Data'!$A$7:$V$41,13,FALSE)</f>
        <v>2257625</v>
      </c>
      <c r="N29" s="182"/>
      <c r="O29" s="179">
        <f>VLOOKUP(A29,'PYExhD Data'!$A$7:$V$41,15,FALSE)</f>
        <v>0</v>
      </c>
      <c r="P29" s="187"/>
      <c r="Q29" s="179">
        <f>VLOOKUP(A29,'PYExhD Data'!$A$7:$V$41,17,FALSE)</f>
        <v>0</v>
      </c>
      <c r="R29" s="182"/>
      <c r="S29" s="182"/>
      <c r="T29" s="179">
        <f>VLOOKUP(A29,'PYExhD Data'!$A$7:$V$41,20,FALSE)</f>
        <v>0</v>
      </c>
      <c r="U29" s="179">
        <f>VLOOKUP(A29,'PYExhD Data'!$A$7:$V$41,21,FALSE)</f>
        <v>0</v>
      </c>
      <c r="V29" s="179">
        <f>VLOOKUP(A29,'PYExhD Data'!$A$7:$V$41,22,FALSE)</f>
        <v>0</v>
      </c>
      <c r="W29" s="160"/>
      <c r="X29" s="124">
        <f t="shared" si="3"/>
        <v>4578713</v>
      </c>
      <c r="Y29" s="154"/>
    </row>
    <row r="30" spans="1:25" ht="13.5" customHeight="1" x14ac:dyDescent="0.25">
      <c r="A30" s="105">
        <v>3580</v>
      </c>
      <c r="B30" s="36">
        <v>261</v>
      </c>
      <c r="C30" s="59" t="s">
        <v>140</v>
      </c>
      <c r="D30" s="116"/>
      <c r="E30" s="183"/>
      <c r="F30" s="180">
        <f>VLOOKUP(A30,'PYExhD Data'!$A$7:$V$41,6,FALSE)</f>
        <v>2101510</v>
      </c>
      <c r="G30" s="180">
        <f>VLOOKUP(A30,'PYExhD Data'!$A$7:$V$41,7,FALSE)</f>
        <v>9556965</v>
      </c>
      <c r="H30" s="183"/>
      <c r="I30" s="180">
        <f>VLOOKUP(A30,'PYExhD Data'!$A$7:$V$41,9,FALSE)</f>
        <v>55311172</v>
      </c>
      <c r="J30" s="180">
        <f>VLOOKUP(A30,'PYExhD Data'!$A$7:$V$41,10,FALSE)</f>
        <v>2756192</v>
      </c>
      <c r="K30" s="183"/>
      <c r="L30" s="180">
        <f>VLOOKUP(A30,'PYExhD Data'!$A$7:$V$41,12,FALSE)</f>
        <v>4923810</v>
      </c>
      <c r="M30" s="180">
        <f>VLOOKUP(A30,'PYExhD Data'!$A$7:$V$41,13,FALSE)</f>
        <v>113573755</v>
      </c>
      <c r="N30" s="183"/>
      <c r="O30" s="180">
        <f>VLOOKUP(A30,'PYExhD Data'!$A$7:$V$41,15,FALSE)</f>
        <v>0</v>
      </c>
      <c r="P30" s="188"/>
      <c r="Q30" s="180">
        <f>VLOOKUP(A30,'PYExhD Data'!$A$7:$V$41,17,FALSE)</f>
        <v>34993324</v>
      </c>
      <c r="R30" s="183"/>
      <c r="S30" s="183"/>
      <c r="T30" s="180">
        <f>VLOOKUP(A30,'PYExhD Data'!$A$7:$V$41,20,FALSE)</f>
        <v>0</v>
      </c>
      <c r="U30" s="180">
        <f>VLOOKUP(A30,'PYExhD Data'!$A$7:$V$41,21,FALSE)</f>
        <v>0</v>
      </c>
      <c r="V30" s="180">
        <f>VLOOKUP(A30,'PYExhD Data'!$A$7:$V$41,22,FALSE)</f>
        <v>0</v>
      </c>
      <c r="W30" s="161"/>
      <c r="X30" s="127">
        <f t="shared" si="3"/>
        <v>223216728</v>
      </c>
      <c r="Y30" s="154"/>
    </row>
    <row r="31" spans="1:25" ht="18" customHeight="1" x14ac:dyDescent="0.25">
      <c r="C31" s="1" t="s">
        <v>16</v>
      </c>
      <c r="D31" s="106"/>
      <c r="E31" s="168">
        <f t="shared" ref="E31:U31" si="4">SUM(E21:E30)</f>
        <v>0</v>
      </c>
      <c r="F31" s="168">
        <f t="shared" si="4"/>
        <v>3845445</v>
      </c>
      <c r="G31" s="168">
        <f t="shared" si="4"/>
        <v>15378805</v>
      </c>
      <c r="H31" s="168">
        <f t="shared" si="4"/>
        <v>0</v>
      </c>
      <c r="I31" s="168">
        <f t="shared" si="4"/>
        <v>56405820</v>
      </c>
      <c r="J31" s="168">
        <f t="shared" si="4"/>
        <v>3857432</v>
      </c>
      <c r="K31" s="168">
        <f t="shared" si="4"/>
        <v>0</v>
      </c>
      <c r="L31" s="168">
        <f t="shared" si="4"/>
        <v>7854157</v>
      </c>
      <c r="M31" s="168">
        <f t="shared" si="4"/>
        <v>121047714</v>
      </c>
      <c r="N31" s="168">
        <f t="shared" si="4"/>
        <v>0</v>
      </c>
      <c r="O31" s="168">
        <f t="shared" si="4"/>
        <v>0</v>
      </c>
      <c r="P31" s="168">
        <f t="shared" si="4"/>
        <v>0</v>
      </c>
      <c r="Q31" s="168">
        <f t="shared" si="4"/>
        <v>35520239</v>
      </c>
      <c r="R31" s="168">
        <f t="shared" si="4"/>
        <v>0</v>
      </c>
      <c r="S31" s="168">
        <f t="shared" si="4"/>
        <v>0</v>
      </c>
      <c r="T31" s="168">
        <f t="shared" si="4"/>
        <v>338004</v>
      </c>
      <c r="U31" s="168">
        <f t="shared" si="4"/>
        <v>178070</v>
      </c>
      <c r="V31" s="168">
        <f>SUM(V21:V30)</f>
        <v>2060351</v>
      </c>
      <c r="W31" s="123"/>
      <c r="X31" s="123">
        <f>SUM(X21:X30)</f>
        <v>246486037</v>
      </c>
      <c r="Y31" s="154"/>
    </row>
    <row r="32" spans="1:25" ht="10.5" customHeight="1" x14ac:dyDescent="0.2">
      <c r="C32" s="116"/>
      <c r="D32" s="119"/>
      <c r="E32" s="167"/>
      <c r="F32" s="167"/>
      <c r="G32" s="167"/>
      <c r="H32" s="167"/>
      <c r="I32" s="167"/>
      <c r="J32" s="167"/>
      <c r="K32" s="167"/>
      <c r="L32" s="167"/>
      <c r="M32" s="167"/>
      <c r="N32" s="167"/>
      <c r="O32" s="167"/>
      <c r="P32" s="167"/>
      <c r="Q32" s="167"/>
      <c r="R32" s="167"/>
      <c r="S32" s="167"/>
      <c r="T32" s="167"/>
      <c r="U32" s="167"/>
      <c r="V32" s="167"/>
      <c r="W32" s="120"/>
      <c r="Y32" s="154"/>
    </row>
    <row r="33" spans="1:25" ht="14.25" customHeight="1" x14ac:dyDescent="0.25">
      <c r="C33" s="1" t="s">
        <v>35</v>
      </c>
      <c r="D33" s="119"/>
      <c r="E33" s="167"/>
      <c r="F33" s="167"/>
      <c r="G33" s="167"/>
      <c r="H33" s="167"/>
      <c r="I33" s="167"/>
      <c r="J33" s="167"/>
      <c r="K33" s="167"/>
      <c r="L33" s="167"/>
      <c r="M33" s="167"/>
      <c r="N33" s="167"/>
      <c r="O33" s="167"/>
      <c r="P33" s="167"/>
      <c r="Q33" s="167"/>
      <c r="R33" s="167"/>
      <c r="S33" s="167"/>
      <c r="T33" s="167"/>
      <c r="U33" s="167"/>
      <c r="V33" s="167"/>
      <c r="W33" s="120"/>
      <c r="Y33" s="154"/>
    </row>
    <row r="34" spans="1:25" ht="13.5" customHeight="1" x14ac:dyDescent="0.25">
      <c r="A34" s="105">
        <v>3630</v>
      </c>
      <c r="C34" s="13" t="s">
        <v>32</v>
      </c>
      <c r="D34" s="119"/>
      <c r="E34" s="182"/>
      <c r="F34" s="179">
        <f>VLOOKUP(A34,'PYExhD Data'!$A$7:$V$41,6,FALSE)</f>
        <v>4205304</v>
      </c>
      <c r="G34" s="179">
        <f>VLOOKUP(A34,'PYExhD Data'!$A$7:$V$41,7,FALSE)</f>
        <v>37946923</v>
      </c>
      <c r="H34" s="182"/>
      <c r="I34" s="179">
        <f>VLOOKUP(A34,'PYExhD Data'!$A$7:$V$41,9,FALSE)</f>
        <v>46734</v>
      </c>
      <c r="J34" s="179">
        <f>VLOOKUP(A34,'PYExhD Data'!$A$7:$V$41,10,FALSE)</f>
        <v>1400104</v>
      </c>
      <c r="K34" s="182"/>
      <c r="L34" s="179">
        <f>VLOOKUP(A34,'PYExhD Data'!$A$7:$V$41,12,FALSE)</f>
        <v>7714908</v>
      </c>
      <c r="M34" s="179">
        <f>VLOOKUP(A34,'PYExhD Data'!$A$7:$V$41,13,FALSE)</f>
        <v>10002833</v>
      </c>
      <c r="N34" s="182"/>
      <c r="O34" s="179">
        <f>VLOOKUP(A34,'PYExhD Data'!$A$7:$V$41,15,FALSE)</f>
        <v>0</v>
      </c>
      <c r="P34" s="187"/>
      <c r="Q34" s="179">
        <f>VLOOKUP(A34,'PYExhD Data'!$A$7:$V$41,17,FALSE)</f>
        <v>1283539</v>
      </c>
      <c r="R34" s="182"/>
      <c r="S34" s="182"/>
      <c r="T34" s="179">
        <f>VLOOKUP(A34,'PYExhD Data'!$A$7:$V$41,20,FALSE)</f>
        <v>174868</v>
      </c>
      <c r="U34" s="179">
        <f>VLOOKUP(A34,'PYExhD Data'!$A$7:$V$41,21,FALSE)</f>
        <v>47442</v>
      </c>
      <c r="V34" s="179">
        <f>VLOOKUP(A34,'PYExhD Data'!$A$7:$V$41,22,FALSE)</f>
        <v>101945</v>
      </c>
      <c r="W34" s="120"/>
      <c r="X34" s="124">
        <f t="shared" ref="X34:X40" si="5">SUM(E34:W34)</f>
        <v>62924600</v>
      </c>
      <c r="Y34" s="154"/>
    </row>
    <row r="35" spans="1:25" ht="13.5" customHeight="1" x14ac:dyDescent="0.25">
      <c r="C35" s="13" t="s">
        <v>33</v>
      </c>
      <c r="D35" s="119"/>
      <c r="E35" s="182"/>
      <c r="F35" s="179"/>
      <c r="G35" s="179"/>
      <c r="H35" s="182"/>
      <c r="I35" s="179"/>
      <c r="J35" s="179"/>
      <c r="K35" s="182"/>
      <c r="L35" s="179"/>
      <c r="M35" s="179"/>
      <c r="N35" s="182"/>
      <c r="O35" s="179"/>
      <c r="P35" s="187"/>
      <c r="Q35" s="179"/>
      <c r="R35" s="182"/>
      <c r="S35" s="182"/>
      <c r="T35" s="179"/>
      <c r="U35" s="179"/>
      <c r="V35" s="179"/>
      <c r="W35" s="120"/>
      <c r="X35" s="124">
        <f t="shared" si="5"/>
        <v>0</v>
      </c>
      <c r="Y35" s="154"/>
    </row>
    <row r="36" spans="1:25" ht="13.5" customHeight="1" x14ac:dyDescent="0.25">
      <c r="C36" s="14" t="s">
        <v>34</v>
      </c>
      <c r="D36" s="116"/>
      <c r="E36" s="182"/>
      <c r="F36" s="179"/>
      <c r="G36" s="179"/>
      <c r="H36" s="182"/>
      <c r="I36" s="179"/>
      <c r="J36" s="179"/>
      <c r="K36" s="182"/>
      <c r="L36" s="179"/>
      <c r="M36" s="179"/>
      <c r="N36" s="182"/>
      <c r="O36" s="179"/>
      <c r="P36" s="187"/>
      <c r="Q36" s="179"/>
      <c r="R36" s="182"/>
      <c r="S36" s="182"/>
      <c r="T36" s="179"/>
      <c r="U36" s="179"/>
      <c r="V36" s="179"/>
      <c r="W36" s="120"/>
      <c r="X36" s="124">
        <f t="shared" si="5"/>
        <v>0</v>
      </c>
      <c r="Y36" s="154"/>
    </row>
    <row r="37" spans="1:25" ht="13.5" customHeight="1" x14ac:dyDescent="0.25">
      <c r="A37" s="105">
        <v>3640</v>
      </c>
      <c r="C37" s="59" t="s">
        <v>46</v>
      </c>
      <c r="D37" s="116"/>
      <c r="E37" s="182"/>
      <c r="F37" s="179">
        <f>VLOOKUP(A37,'PYExhD Data'!$A$7:$V$41,6,FALSE)</f>
        <v>524343602</v>
      </c>
      <c r="G37" s="179">
        <f>VLOOKUP(A37,'PYExhD Data'!$A$7:$V$41,7,FALSE)</f>
        <v>426923203</v>
      </c>
      <c r="H37" s="182"/>
      <c r="I37" s="179">
        <f>VLOOKUP(A37,'PYExhD Data'!$A$7:$V$41,9,FALSE)</f>
        <v>86112679</v>
      </c>
      <c r="J37" s="179">
        <f>VLOOKUP(A37,'PYExhD Data'!$A$7:$V$41,10,FALSE)</f>
        <v>24782919</v>
      </c>
      <c r="K37" s="182"/>
      <c r="L37" s="179">
        <f>VLOOKUP(A37,'PYExhD Data'!$A$7:$V$41,12,FALSE)</f>
        <v>88126363</v>
      </c>
      <c r="M37" s="179">
        <f>VLOOKUP(A37,'PYExhD Data'!$A$7:$V$41,13,FALSE)</f>
        <v>5430478</v>
      </c>
      <c r="N37" s="182"/>
      <c r="O37" s="179">
        <f>VLOOKUP(A37,'PYExhD Data'!$A$7:$V$41,15,FALSE)</f>
        <v>0</v>
      </c>
      <c r="P37" s="187"/>
      <c r="Q37" s="179">
        <f>VLOOKUP(A37,'PYExhD Data'!$A$7:$V$41,17,FALSE)</f>
        <v>12946935</v>
      </c>
      <c r="R37" s="182"/>
      <c r="S37" s="182"/>
      <c r="T37" s="179">
        <f>VLOOKUP(A37,'PYExhD Data'!$A$7:$V$41,20,FALSE)</f>
        <v>20227484</v>
      </c>
      <c r="U37" s="179">
        <f>VLOOKUP(A37,'PYExhD Data'!$A$7:$V$41,21,FALSE)</f>
        <v>87914688</v>
      </c>
      <c r="V37" s="179">
        <f>VLOOKUP(A37,'PYExhD Data'!$A$7:$V$41,22,FALSE)</f>
        <v>10707666</v>
      </c>
      <c r="W37" s="120"/>
      <c r="X37" s="124">
        <f t="shared" si="5"/>
        <v>1287516017</v>
      </c>
      <c r="Y37" s="154"/>
    </row>
    <row r="38" spans="1:25" ht="13.5" customHeight="1" x14ac:dyDescent="0.25">
      <c r="C38" s="14" t="s">
        <v>36</v>
      </c>
      <c r="D38" s="116"/>
      <c r="E38" s="182"/>
      <c r="F38" s="179"/>
      <c r="G38" s="179"/>
      <c r="H38" s="182"/>
      <c r="I38" s="179"/>
      <c r="J38" s="179"/>
      <c r="K38" s="182"/>
      <c r="L38" s="179"/>
      <c r="M38" s="179"/>
      <c r="N38" s="182"/>
      <c r="O38" s="179"/>
      <c r="P38" s="187"/>
      <c r="Q38" s="179"/>
      <c r="R38" s="182"/>
      <c r="S38" s="182"/>
      <c r="T38" s="179"/>
      <c r="U38" s="179"/>
      <c r="V38" s="179"/>
      <c r="W38" s="120"/>
      <c r="X38" s="124">
        <f t="shared" si="5"/>
        <v>0</v>
      </c>
      <c r="Y38" s="154"/>
    </row>
    <row r="39" spans="1:25" ht="13.5" customHeight="1" x14ac:dyDescent="0.25">
      <c r="A39" s="105">
        <v>3650</v>
      </c>
      <c r="C39" s="59" t="s">
        <v>46</v>
      </c>
      <c r="D39" s="116"/>
      <c r="E39" s="182"/>
      <c r="F39" s="179">
        <f>VLOOKUP(A39,'PYExhD Data'!$A$7:$V$41,6,FALSE)</f>
        <v>779648889</v>
      </c>
      <c r="G39" s="179">
        <f>VLOOKUP(A39,'PYExhD Data'!$A$7:$V$41,7,FALSE)</f>
        <v>402372716</v>
      </c>
      <c r="H39" s="182"/>
      <c r="I39" s="179">
        <f>VLOOKUP(A39,'PYExhD Data'!$A$7:$V$41,9,FALSE)</f>
        <v>117791782</v>
      </c>
      <c r="J39" s="179">
        <f>VLOOKUP(A39,'PYExhD Data'!$A$7:$V$41,10,FALSE)</f>
        <v>27213793</v>
      </c>
      <c r="K39" s="182"/>
      <c r="L39" s="179">
        <f>VLOOKUP(A39,'PYExhD Data'!$A$7:$V$41,12,FALSE)</f>
        <v>89797497</v>
      </c>
      <c r="M39" s="179">
        <f>VLOOKUP(A39,'PYExhD Data'!$A$7:$V$41,13,FALSE)</f>
        <v>12010655</v>
      </c>
      <c r="N39" s="182"/>
      <c r="O39" s="179">
        <f>VLOOKUP(A39,'PYExhD Data'!$A$7:$V$41,15,FALSE)</f>
        <v>0</v>
      </c>
      <c r="P39" s="187"/>
      <c r="Q39" s="179">
        <f>VLOOKUP(A39,'PYExhD Data'!$A$7:$V$41,17,FALSE)</f>
        <v>17642491</v>
      </c>
      <c r="R39" s="182"/>
      <c r="S39" s="182"/>
      <c r="T39" s="179">
        <f>VLOOKUP(A39,'PYExhD Data'!$A$7:$V$41,20,FALSE)</f>
        <v>14944011</v>
      </c>
      <c r="U39" s="179">
        <f>VLOOKUP(A39,'PYExhD Data'!$A$7:$V$41,21,FALSE)</f>
        <v>9940787</v>
      </c>
      <c r="V39" s="179">
        <f>VLOOKUP(A39,'PYExhD Data'!$A$7:$V$41,22,FALSE)</f>
        <v>21336157</v>
      </c>
      <c r="W39" s="120"/>
      <c r="X39" s="124">
        <f t="shared" si="5"/>
        <v>1492698778</v>
      </c>
      <c r="Y39" s="154"/>
    </row>
    <row r="40" spans="1:25" ht="13.5" customHeight="1" x14ac:dyDescent="0.25">
      <c r="A40" s="105">
        <v>3680</v>
      </c>
      <c r="C40" s="13" t="s">
        <v>15</v>
      </c>
      <c r="D40" s="116"/>
      <c r="E40" s="182"/>
      <c r="F40" s="179">
        <f>VLOOKUP(A40,'PYExhD Data'!$A$7:$V$41,6,FALSE)</f>
        <v>105909254</v>
      </c>
      <c r="G40" s="179">
        <f>VLOOKUP(A40,'PYExhD Data'!$A$7:$V$41,7,FALSE)</f>
        <v>22922135</v>
      </c>
      <c r="H40" s="182"/>
      <c r="I40" s="179">
        <f>VLOOKUP(A40,'PYExhD Data'!$A$7:$V$41,9,FALSE)</f>
        <v>35976710</v>
      </c>
      <c r="J40" s="179">
        <f>VLOOKUP(A40,'PYExhD Data'!$A$7:$V$41,10,FALSE)</f>
        <v>4134279</v>
      </c>
      <c r="K40" s="182"/>
      <c r="L40" s="179">
        <f>VLOOKUP(A40,'PYExhD Data'!$A$7:$V$41,12,FALSE)</f>
        <v>18066831</v>
      </c>
      <c r="M40" s="179">
        <f>VLOOKUP(A40,'PYExhD Data'!$A$7:$V$41,13,FALSE)</f>
        <v>5615000</v>
      </c>
      <c r="N40" s="182"/>
      <c r="O40" s="179">
        <f>VLOOKUP(A40,'PYExhD Data'!$A$7:$V$41,15,FALSE)</f>
        <v>0</v>
      </c>
      <c r="P40" s="187"/>
      <c r="Q40" s="179">
        <f>VLOOKUP(A40,'PYExhD Data'!$A$7:$V$41,17,FALSE)</f>
        <v>34058743</v>
      </c>
      <c r="R40" s="182"/>
      <c r="S40" s="182"/>
      <c r="T40" s="179">
        <f>VLOOKUP(A40,'PYExhD Data'!$A$7:$V$41,20,FALSE)</f>
        <v>2410269</v>
      </c>
      <c r="U40" s="179">
        <f>VLOOKUP(A40,'PYExhD Data'!$A$7:$V$41,21,FALSE)</f>
        <v>2033834</v>
      </c>
      <c r="V40" s="179">
        <f>VLOOKUP(A40,'PYExhD Data'!$A$7:$V$41,22,FALSE)</f>
        <v>6577378</v>
      </c>
      <c r="W40" s="120"/>
      <c r="X40" s="124">
        <f t="shared" si="5"/>
        <v>237704433</v>
      </c>
      <c r="Y40" s="154"/>
    </row>
    <row r="41" spans="1:25" ht="13.8" thickBot="1" x14ac:dyDescent="0.3">
      <c r="C41" s="1" t="s">
        <v>17</v>
      </c>
      <c r="D41" s="116"/>
      <c r="E41" s="169">
        <f>SUM(E34:E40)</f>
        <v>0</v>
      </c>
      <c r="F41" s="169">
        <f>SUM(F34:F40)</f>
        <v>1414107049</v>
      </c>
      <c r="G41" s="169">
        <f t="shared" ref="G41:U41" si="6">SUM(G34:G40)</f>
        <v>890164977</v>
      </c>
      <c r="H41" s="169">
        <f t="shared" si="6"/>
        <v>0</v>
      </c>
      <c r="I41" s="169">
        <f t="shared" si="6"/>
        <v>239927905</v>
      </c>
      <c r="J41" s="169">
        <f t="shared" si="6"/>
        <v>57531095</v>
      </c>
      <c r="K41" s="169">
        <f t="shared" si="6"/>
        <v>0</v>
      </c>
      <c r="L41" s="169">
        <f t="shared" si="6"/>
        <v>203705599</v>
      </c>
      <c r="M41" s="169">
        <f t="shared" si="6"/>
        <v>33058966</v>
      </c>
      <c r="N41" s="169">
        <f t="shared" si="6"/>
        <v>0</v>
      </c>
      <c r="O41" s="169">
        <f t="shared" si="6"/>
        <v>0</v>
      </c>
      <c r="P41" s="169">
        <f t="shared" si="6"/>
        <v>0</v>
      </c>
      <c r="Q41" s="169">
        <f t="shared" si="6"/>
        <v>65931708</v>
      </c>
      <c r="R41" s="169">
        <f t="shared" si="6"/>
        <v>0</v>
      </c>
      <c r="S41" s="169">
        <f t="shared" si="6"/>
        <v>0</v>
      </c>
      <c r="T41" s="169">
        <f t="shared" si="6"/>
        <v>37756632</v>
      </c>
      <c r="U41" s="169">
        <f t="shared" si="6"/>
        <v>99936751</v>
      </c>
      <c r="V41" s="169">
        <f>SUM(V34:V40)</f>
        <v>38723146</v>
      </c>
      <c r="W41" s="162"/>
      <c r="X41" s="162">
        <f>SUM(X34:X40)</f>
        <v>3080843828</v>
      </c>
      <c r="Y41" s="154"/>
    </row>
    <row r="42" spans="1:25" ht="10.5" customHeight="1" thickTop="1" x14ac:dyDescent="0.2">
      <c r="C42" s="116"/>
      <c r="D42" s="116"/>
      <c r="E42" s="120"/>
      <c r="F42" s="120"/>
      <c r="G42" s="120"/>
      <c r="H42" s="120"/>
      <c r="I42" s="120"/>
      <c r="J42" s="120"/>
      <c r="K42" s="120"/>
      <c r="L42" s="120"/>
      <c r="M42" s="120"/>
      <c r="N42" s="120"/>
      <c r="O42" s="120"/>
      <c r="P42" s="120"/>
      <c r="Q42" s="120"/>
      <c r="R42" s="120"/>
      <c r="S42" s="120"/>
      <c r="T42" s="120"/>
      <c r="U42" s="120"/>
      <c r="V42" s="120"/>
      <c r="W42" s="120"/>
      <c r="Y42" s="154"/>
    </row>
    <row r="43" spans="1:25" ht="10.5" customHeight="1" x14ac:dyDescent="0.2">
      <c r="C43" s="154"/>
      <c r="D43" s="163"/>
      <c r="E43" s="148" t="str">
        <f t="shared" ref="E43:U43" si="7">IF(E18-E31=E41,"In Balance","Not Balanced")</f>
        <v>In Balance</v>
      </c>
      <c r="F43" s="148" t="str">
        <f t="shared" si="7"/>
        <v>In Balance</v>
      </c>
      <c r="G43" s="148" t="str">
        <f t="shared" si="7"/>
        <v>In Balance</v>
      </c>
      <c r="H43" s="148" t="str">
        <f t="shared" si="7"/>
        <v>In Balance</v>
      </c>
      <c r="I43" s="148" t="str">
        <f t="shared" si="7"/>
        <v>In Balance</v>
      </c>
      <c r="J43" s="148" t="str">
        <f t="shared" si="7"/>
        <v>In Balance</v>
      </c>
      <c r="K43" s="148" t="str">
        <f t="shared" si="7"/>
        <v>In Balance</v>
      </c>
      <c r="L43" s="148" t="str">
        <f t="shared" si="7"/>
        <v>In Balance</v>
      </c>
      <c r="M43" s="148" t="str">
        <f t="shared" si="7"/>
        <v>In Balance</v>
      </c>
      <c r="N43" s="148" t="str">
        <f t="shared" si="7"/>
        <v>In Balance</v>
      </c>
      <c r="O43" s="148" t="str">
        <f t="shared" si="7"/>
        <v>In Balance</v>
      </c>
      <c r="P43" s="148" t="str">
        <f t="shared" si="7"/>
        <v>In Balance</v>
      </c>
      <c r="Q43" s="148" t="str">
        <f t="shared" si="7"/>
        <v>In Balance</v>
      </c>
      <c r="R43" s="148" t="str">
        <f t="shared" si="7"/>
        <v>In Balance</v>
      </c>
      <c r="S43" s="148" t="str">
        <f t="shared" si="7"/>
        <v>In Balance</v>
      </c>
      <c r="T43" s="148" t="str">
        <f t="shared" si="7"/>
        <v>In Balance</v>
      </c>
      <c r="U43" s="148" t="str">
        <f t="shared" si="7"/>
        <v>In Balance</v>
      </c>
      <c r="V43" s="148" t="str">
        <f>IF(V18-V31=V41,"In Balance","Not Balanced")</f>
        <v>In Balance</v>
      </c>
      <c r="W43" s="148"/>
      <c r="X43" s="148" t="str">
        <f>IF(X18-X31=X41,"In Balance","Not Balanced")</f>
        <v>In Balance</v>
      </c>
      <c r="Y43" s="154"/>
    </row>
    <row r="44" spans="1:25" x14ac:dyDescent="0.2">
      <c r="A44" s="193" t="s">
        <v>399</v>
      </c>
      <c r="E44" s="164"/>
      <c r="F44" s="164"/>
      <c r="G44" s="164"/>
      <c r="H44" s="164"/>
      <c r="I44" s="164"/>
      <c r="J44" s="164"/>
      <c r="K44" s="164"/>
      <c r="L44" s="164"/>
      <c r="M44" s="164"/>
      <c r="N44" s="164"/>
      <c r="O44" s="164"/>
      <c r="P44" s="164"/>
      <c r="Q44" s="164"/>
      <c r="R44" s="164"/>
      <c r="S44" s="164"/>
      <c r="T44" s="164"/>
      <c r="U44" s="164"/>
      <c r="V44" s="164"/>
      <c r="W44" s="164"/>
      <c r="X44" s="164"/>
    </row>
    <row r="45" spans="1:25" x14ac:dyDescent="0.2">
      <c r="A45" s="35" t="s">
        <v>363</v>
      </c>
      <c r="X45" s="125"/>
    </row>
    <row r="46" spans="1:25" x14ac:dyDescent="0.2">
      <c r="A46" s="297" t="s">
        <v>400</v>
      </c>
      <c r="E46" s="165"/>
      <c r="F46" s="165"/>
      <c r="G46" s="165"/>
      <c r="H46" s="165"/>
      <c r="I46" s="165"/>
      <c r="J46" s="165"/>
      <c r="K46" s="165"/>
      <c r="L46" s="165"/>
      <c r="M46" s="165"/>
      <c r="N46" s="165"/>
      <c r="O46" s="165"/>
      <c r="P46" s="165"/>
      <c r="Q46" s="165"/>
      <c r="R46" s="165"/>
      <c r="S46" s="165"/>
      <c r="T46" s="165"/>
      <c r="U46" s="165"/>
      <c r="V46" s="165"/>
      <c r="W46" s="165"/>
    </row>
    <row r="47" spans="1:25" x14ac:dyDescent="0.2">
      <c r="A47" s="35"/>
      <c r="E47" s="165"/>
      <c r="F47" s="165"/>
      <c r="G47" s="165"/>
      <c r="H47" s="165"/>
      <c r="I47" s="165"/>
      <c r="J47" s="165"/>
      <c r="K47" s="165"/>
      <c r="L47" s="165"/>
      <c r="M47" s="165"/>
      <c r="N47" s="165"/>
      <c r="O47" s="165"/>
      <c r="P47" s="165"/>
      <c r="Q47" s="165"/>
      <c r="R47" s="165"/>
      <c r="S47" s="165"/>
      <c r="T47" s="165"/>
      <c r="U47" s="165"/>
      <c r="V47" s="165"/>
      <c r="W47" s="165"/>
    </row>
    <row r="48" spans="1:25" s="106" customFormat="1" x14ac:dyDescent="0.2">
      <c r="A48" s="35"/>
      <c r="B48" s="152"/>
      <c r="C48" s="152"/>
      <c r="D48" s="152"/>
      <c r="E48" s="165"/>
      <c r="F48" s="165"/>
      <c r="G48" s="165"/>
      <c r="H48" s="165"/>
      <c r="I48" s="165"/>
      <c r="J48" s="165"/>
      <c r="K48" s="165"/>
      <c r="L48" s="165"/>
      <c r="M48" s="165"/>
      <c r="N48" s="165"/>
      <c r="O48" s="165"/>
      <c r="P48" s="165"/>
      <c r="Q48" s="165"/>
      <c r="R48" s="165"/>
      <c r="S48" s="165"/>
      <c r="T48" s="165"/>
      <c r="U48" s="165"/>
      <c r="V48" s="165"/>
      <c r="W48" s="165"/>
      <c r="X48" s="124"/>
    </row>
    <row r="49" spans="1:24" s="106" customFormat="1" x14ac:dyDescent="0.2">
      <c r="A49" s="35"/>
      <c r="B49" s="152"/>
      <c r="D49" s="152"/>
      <c r="E49" s="165"/>
      <c r="F49" s="165"/>
      <c r="G49" s="165"/>
      <c r="H49" s="165"/>
      <c r="I49" s="165"/>
      <c r="J49" s="165"/>
      <c r="K49" s="165"/>
      <c r="L49" s="165"/>
      <c r="M49" s="165"/>
      <c r="N49" s="165"/>
      <c r="O49" s="165"/>
      <c r="P49" s="165"/>
      <c r="Q49" s="165"/>
      <c r="R49" s="165"/>
      <c r="S49" s="165"/>
      <c r="T49" s="165"/>
      <c r="U49" s="165"/>
      <c r="V49" s="165"/>
      <c r="W49" s="165"/>
      <c r="X49" s="165"/>
    </row>
    <row r="50" spans="1:24" s="106" customFormat="1" x14ac:dyDescent="0.2">
      <c r="A50" s="35"/>
      <c r="B50" s="152"/>
      <c r="C50" s="152"/>
      <c r="D50" s="152"/>
      <c r="E50" s="165"/>
      <c r="F50" s="165"/>
      <c r="G50" s="165"/>
      <c r="H50" s="165"/>
      <c r="I50" s="165"/>
      <c r="J50" s="165"/>
      <c r="K50" s="165"/>
      <c r="L50" s="165"/>
      <c r="M50" s="165"/>
      <c r="N50" s="165"/>
      <c r="O50" s="165"/>
      <c r="P50" s="165"/>
      <c r="Q50" s="165"/>
      <c r="R50" s="165"/>
      <c r="S50" s="165"/>
      <c r="T50" s="165"/>
      <c r="U50" s="165"/>
      <c r="V50" s="165"/>
      <c r="W50" s="165"/>
      <c r="X50" s="165"/>
    </row>
    <row r="51" spans="1:24" s="106" customFormat="1" x14ac:dyDescent="0.2">
      <c r="A51" s="105"/>
      <c r="B51" s="152"/>
      <c r="C51" s="152"/>
      <c r="D51" s="152"/>
      <c r="E51" s="165"/>
      <c r="F51" s="165"/>
      <c r="G51" s="165"/>
      <c r="H51" s="165"/>
      <c r="I51" s="165"/>
      <c r="J51" s="165"/>
      <c r="K51" s="165"/>
      <c r="L51" s="165"/>
      <c r="M51" s="165"/>
      <c r="N51" s="165"/>
      <c r="O51" s="165"/>
      <c r="P51" s="165"/>
      <c r="Q51" s="165"/>
      <c r="R51" s="165"/>
      <c r="S51" s="165"/>
      <c r="T51" s="165"/>
      <c r="U51" s="165"/>
      <c r="V51" s="165"/>
      <c r="W51" s="165"/>
      <c r="X51" s="124"/>
    </row>
    <row r="52" spans="1:24" s="106" customFormat="1" ht="13.2" x14ac:dyDescent="0.25">
      <c r="A52" s="105"/>
      <c r="B52" s="158" t="s">
        <v>345</v>
      </c>
      <c r="C52" s="177" t="s">
        <v>346</v>
      </c>
      <c r="D52" s="152"/>
      <c r="E52" s="95"/>
      <c r="F52" s="165"/>
      <c r="G52" s="165"/>
      <c r="H52" s="165"/>
      <c r="I52" s="165"/>
      <c r="J52" s="165"/>
      <c r="K52" s="165"/>
      <c r="L52" s="165"/>
      <c r="M52" s="165"/>
      <c r="N52" s="165"/>
      <c r="O52" s="165"/>
      <c r="P52" s="165"/>
      <c r="Q52" s="165"/>
      <c r="R52" s="165"/>
      <c r="S52" s="165"/>
      <c r="T52" s="165"/>
      <c r="U52" s="165"/>
      <c r="V52" s="165"/>
      <c r="W52" s="165"/>
      <c r="X52" s="165"/>
    </row>
    <row r="53" spans="1:24" s="106" customFormat="1" ht="13.2" x14ac:dyDescent="0.25">
      <c r="A53" s="105"/>
      <c r="B53" s="152"/>
      <c r="C53" s="152"/>
      <c r="D53" s="152"/>
      <c r="E53" s="95"/>
      <c r="F53" s="165"/>
      <c r="G53" s="165"/>
      <c r="H53" s="165"/>
      <c r="I53" s="165"/>
      <c r="J53" s="165"/>
      <c r="K53" s="165"/>
      <c r="L53" s="165"/>
      <c r="M53" s="165"/>
      <c r="N53" s="165"/>
      <c r="O53" s="165"/>
      <c r="P53" s="165"/>
      <c r="Q53" s="165"/>
      <c r="R53" s="165"/>
      <c r="S53" s="165"/>
      <c r="T53" s="165"/>
      <c r="U53" s="165"/>
      <c r="V53" s="165"/>
      <c r="W53" s="165"/>
      <c r="X53" s="165"/>
    </row>
    <row r="54" spans="1:24" s="106" customFormat="1" x14ac:dyDescent="0.2">
      <c r="A54" s="105"/>
      <c r="B54" s="152"/>
      <c r="C54" s="152"/>
      <c r="D54" s="152"/>
      <c r="E54" s="165"/>
      <c r="F54" s="165"/>
      <c r="G54" s="165"/>
      <c r="H54" s="165"/>
      <c r="I54" s="165"/>
      <c r="J54" s="165"/>
      <c r="K54" s="165"/>
      <c r="L54" s="165"/>
      <c r="M54" s="165"/>
      <c r="N54" s="165"/>
      <c r="O54" s="165"/>
      <c r="P54" s="165"/>
      <c r="Q54" s="165"/>
      <c r="R54" s="165"/>
      <c r="S54" s="165"/>
      <c r="T54" s="165"/>
      <c r="U54" s="165"/>
      <c r="V54" s="165"/>
      <c r="W54" s="165"/>
      <c r="X54" s="165"/>
    </row>
  </sheetData>
  <sheetProtection algorithmName="SHA-512" hashValue="70c1pMSKEr+Of7byRJ8X8AmaaS/go209pPrNZ+1magDV4xtUTntJULZXkyv3JOVZKmI/6W/0hN4LIZ/Hbq3Snw==" saltValue="DBI3M5WbDHVsn6liLbeLpw==" spinCount="100000" sheet="1" autoFilter="0"/>
  <printOptions headings="1" gridLines="1"/>
  <pageMargins left="0.7" right="0.7" top="0.75" bottom="0.75" header="0.3" footer="0.3"/>
  <pageSetup scale="71" fitToWidth="2" orientation="landscape" r:id="rId1"/>
  <rowBreaks count="1" manualBreakCount="1">
    <brk id="32" max="16383" man="1"/>
  </rowBreaks>
  <colBreaks count="1" manualBreakCount="1">
    <brk id="12"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X38"/>
  <sheetViews>
    <sheetView zoomScaleNormal="100" workbookViewId="0">
      <pane xSplit="3" ySplit="5" topLeftCell="I6" activePane="bottomRight" state="frozen"/>
      <selection pane="topRight"/>
      <selection pane="bottomLeft"/>
      <selection pane="bottomRight" activeCell="X29" sqref="X29"/>
    </sheetView>
  </sheetViews>
  <sheetFormatPr defaultRowHeight="13.2" x14ac:dyDescent="0.25"/>
  <cols>
    <col min="1" max="1" width="5" bestFit="1" customWidth="1"/>
    <col min="2" max="2" width="5.109375" bestFit="1" customWidth="1"/>
    <col min="3" max="3" width="41.5546875" bestFit="1" customWidth="1"/>
    <col min="4" max="4" width="2.6640625" customWidth="1"/>
    <col min="5" max="5" width="6.5546875" bestFit="1" customWidth="1"/>
    <col min="6" max="6" width="13.44140625" bestFit="1" customWidth="1"/>
    <col min="7" max="7" width="11.6640625" customWidth="1"/>
    <col min="8" max="8" width="5.5546875" bestFit="1" customWidth="1"/>
    <col min="9" max="9" width="11.44140625" customWidth="1"/>
    <col min="10" max="10" width="10.6640625" bestFit="1" customWidth="1"/>
    <col min="11" max="11" width="5.6640625" bestFit="1" customWidth="1"/>
    <col min="12" max="12" width="13.88671875" customWidth="1"/>
    <col min="13" max="13" width="11.33203125" customWidth="1"/>
    <col min="14" max="14" width="5.44140625" bestFit="1" customWidth="1"/>
    <col min="15" max="15" width="13.109375" customWidth="1"/>
    <col min="16" max="16" width="5.44140625" bestFit="1" customWidth="1"/>
    <col min="17" max="17" width="10.88671875" customWidth="1"/>
    <col min="18" max="18" width="5.5546875" bestFit="1" customWidth="1"/>
    <col min="19" max="19" width="9.88671875" bestFit="1" customWidth="1"/>
    <col min="20" max="20" width="11.6640625" bestFit="1" customWidth="1"/>
    <col min="21" max="21" width="10.88671875" bestFit="1" customWidth="1"/>
    <col min="22" max="22" width="11" customWidth="1"/>
    <col min="23" max="23" width="3.44140625" customWidth="1"/>
    <col min="24" max="24" width="13.5546875" customWidth="1"/>
  </cols>
  <sheetData>
    <row r="1" spans="1:24" x14ac:dyDescent="0.25">
      <c r="A1" s="139"/>
      <c r="B1" s="140"/>
      <c r="C1" s="107" t="s">
        <v>253</v>
      </c>
      <c r="D1" s="108"/>
      <c r="E1" s="106"/>
      <c r="F1" s="108"/>
      <c r="G1" s="108"/>
      <c r="H1" s="108"/>
      <c r="I1" s="108"/>
      <c r="J1" s="108"/>
      <c r="K1" s="108"/>
      <c r="L1" s="108"/>
      <c r="M1" s="108"/>
      <c r="N1" s="108"/>
      <c r="O1" s="108"/>
      <c r="P1" s="108"/>
      <c r="Q1" s="108"/>
      <c r="R1" s="108"/>
      <c r="S1" s="108"/>
      <c r="T1" s="108"/>
      <c r="U1" s="108"/>
      <c r="V1" s="108"/>
      <c r="W1" s="108"/>
      <c r="X1" s="125"/>
    </row>
    <row r="2" spans="1:24" x14ac:dyDescent="0.25">
      <c r="A2" s="139"/>
      <c r="B2" s="140"/>
      <c r="C2" s="110" t="s">
        <v>254</v>
      </c>
      <c r="D2" s="108"/>
      <c r="E2" s="111" t="s">
        <v>255</v>
      </c>
      <c r="F2" s="111" t="s">
        <v>256</v>
      </c>
      <c r="G2" s="111" t="s">
        <v>257</v>
      </c>
      <c r="H2" s="111" t="s">
        <v>258</v>
      </c>
      <c r="I2" s="111" t="s">
        <v>259</v>
      </c>
      <c r="J2" s="111" t="s">
        <v>260</v>
      </c>
      <c r="K2" s="111" t="s">
        <v>261</v>
      </c>
      <c r="L2" s="111" t="s">
        <v>262</v>
      </c>
      <c r="M2" s="111" t="s">
        <v>263</v>
      </c>
      <c r="N2" s="111" t="s">
        <v>264</v>
      </c>
      <c r="O2" s="111" t="s">
        <v>265</v>
      </c>
      <c r="P2" s="111" t="s">
        <v>266</v>
      </c>
      <c r="Q2" s="111" t="s">
        <v>267</v>
      </c>
      <c r="R2" s="111" t="s">
        <v>268</v>
      </c>
      <c r="S2" s="111" t="s">
        <v>269</v>
      </c>
      <c r="T2" s="111" t="s">
        <v>270</v>
      </c>
      <c r="U2" s="111" t="s">
        <v>271</v>
      </c>
      <c r="V2" s="111" t="s">
        <v>272</v>
      </c>
      <c r="W2" s="108"/>
      <c r="X2" s="125"/>
    </row>
    <row r="3" spans="1:24" x14ac:dyDescent="0.25">
      <c r="A3" s="139"/>
      <c r="B3" s="140"/>
      <c r="C3" s="112">
        <v>44377</v>
      </c>
      <c r="D3" s="113"/>
      <c r="E3" s="108"/>
      <c r="F3" s="108"/>
      <c r="G3" s="108"/>
      <c r="H3" s="108"/>
      <c r="I3" s="108"/>
      <c r="J3" s="108"/>
      <c r="K3" s="108"/>
      <c r="L3" s="108"/>
      <c r="M3" s="108"/>
      <c r="N3" s="108"/>
      <c r="O3" s="108"/>
      <c r="P3" s="108"/>
      <c r="Q3" s="108"/>
      <c r="R3" s="108"/>
      <c r="S3" s="108"/>
      <c r="T3" s="108"/>
      <c r="U3" s="108"/>
      <c r="V3" s="108"/>
      <c r="W3" s="108"/>
      <c r="X3" s="125"/>
    </row>
    <row r="4" spans="1:24" x14ac:dyDescent="0.25">
      <c r="A4" s="139"/>
      <c r="B4" s="140"/>
      <c r="C4" s="170" t="s">
        <v>349</v>
      </c>
      <c r="D4" s="140"/>
      <c r="E4" s="108"/>
      <c r="F4" s="108"/>
      <c r="G4" s="108"/>
      <c r="H4" s="108"/>
      <c r="I4" s="108"/>
      <c r="J4" s="108"/>
      <c r="K4" s="108"/>
      <c r="L4" s="108"/>
      <c r="M4" s="108"/>
      <c r="N4" s="108"/>
      <c r="O4" s="108"/>
      <c r="P4" s="108"/>
      <c r="Q4" s="108"/>
      <c r="R4" s="108"/>
      <c r="S4" s="108"/>
      <c r="T4" s="108"/>
      <c r="U4" s="108"/>
      <c r="V4" s="108"/>
      <c r="W4" s="108"/>
      <c r="X4" s="125" t="s">
        <v>292</v>
      </c>
    </row>
    <row r="5" spans="1:24" x14ac:dyDescent="0.25">
      <c r="A5" s="139"/>
      <c r="B5" s="140"/>
      <c r="C5" s="114" t="s">
        <v>315</v>
      </c>
      <c r="D5" s="140"/>
      <c r="E5" s="115" t="s">
        <v>273</v>
      </c>
      <c r="F5" s="115" t="s">
        <v>274</v>
      </c>
      <c r="G5" s="115" t="s">
        <v>275</v>
      </c>
      <c r="H5" s="115" t="s">
        <v>276</v>
      </c>
      <c r="I5" s="115" t="s">
        <v>277</v>
      </c>
      <c r="J5" s="115" t="s">
        <v>278</v>
      </c>
      <c r="K5" s="115" t="s">
        <v>279</v>
      </c>
      <c r="L5" s="115" t="s">
        <v>280</v>
      </c>
      <c r="M5" s="115" t="s">
        <v>281</v>
      </c>
      <c r="N5" s="115" t="s">
        <v>282</v>
      </c>
      <c r="O5" s="115" t="s">
        <v>283</v>
      </c>
      <c r="P5" s="115" t="s">
        <v>361</v>
      </c>
      <c r="Q5" s="115" t="s">
        <v>285</v>
      </c>
      <c r="R5" s="115" t="s">
        <v>286</v>
      </c>
      <c r="S5" s="115" t="s">
        <v>287</v>
      </c>
      <c r="T5" s="115" t="s">
        <v>298</v>
      </c>
      <c r="U5" s="115" t="s">
        <v>299</v>
      </c>
      <c r="V5" s="115" t="s">
        <v>290</v>
      </c>
      <c r="W5" s="115"/>
      <c r="X5" s="126" t="s">
        <v>293</v>
      </c>
    </row>
    <row r="6" spans="1:24" x14ac:dyDescent="0.25">
      <c r="A6" s="139"/>
      <c r="B6" s="140"/>
      <c r="C6" s="135" t="s">
        <v>18</v>
      </c>
      <c r="D6" s="140"/>
      <c r="E6" s="140"/>
      <c r="F6" s="140"/>
      <c r="G6" s="140"/>
      <c r="H6" s="140"/>
      <c r="I6" s="140"/>
      <c r="J6" s="140"/>
      <c r="K6" s="140"/>
      <c r="L6" s="140"/>
      <c r="M6" s="140"/>
      <c r="N6" s="140"/>
      <c r="O6" s="140"/>
      <c r="P6" s="140"/>
      <c r="Q6" s="140"/>
      <c r="R6" s="140"/>
      <c r="S6" s="140"/>
      <c r="T6" s="140"/>
      <c r="U6" s="140"/>
      <c r="V6" s="140"/>
      <c r="W6" s="140"/>
      <c r="X6" s="140"/>
    </row>
    <row r="7" spans="1:24" x14ac:dyDescent="0.25">
      <c r="A7" s="139">
        <v>2700</v>
      </c>
      <c r="B7" s="136">
        <v>505</v>
      </c>
      <c r="C7" s="141" t="s">
        <v>124</v>
      </c>
      <c r="D7" s="140"/>
      <c r="E7" s="182"/>
      <c r="F7" s="255">
        <f>VLOOKUP(A7,'PYExhE Data'!$A$7:$V$31,6,FALSE)</f>
        <v>0</v>
      </c>
      <c r="G7" s="255">
        <f>VLOOKUP(A7,'PYExhE Data'!$A$7:$V$31,7,FALSE)</f>
        <v>690958</v>
      </c>
      <c r="H7" s="256"/>
      <c r="I7" s="255">
        <f>VLOOKUP(A7,'PYExhE Data'!$A$7:$V$31,9,FALSE)</f>
        <v>63246</v>
      </c>
      <c r="J7" s="255">
        <f>VLOOKUP(A7,'PYExhE Data'!$A$7:$V$31,10,FALSE)</f>
        <v>1688940</v>
      </c>
      <c r="K7" s="256"/>
      <c r="L7" s="255">
        <f>VLOOKUP(A7,'PYExhE Data'!$A$7:$V$31,12,FALSE)</f>
        <v>0</v>
      </c>
      <c r="M7" s="255">
        <f>VLOOKUP(A7,'PYExhE Data'!$A$7:$V$31,13,FALSE)</f>
        <v>0</v>
      </c>
      <c r="N7" s="256"/>
      <c r="O7" s="255">
        <f>VLOOKUP(A7,'PYExhE Data'!$A$7:$V$31,15,FALSE)</f>
        <v>0</v>
      </c>
      <c r="P7" s="256"/>
      <c r="Q7" s="255">
        <f>VLOOKUP(A7,'PYExhE Data'!$A$7:$V$31,17,FALSE)</f>
        <v>0</v>
      </c>
      <c r="R7" s="256"/>
      <c r="S7" s="256"/>
      <c r="T7" s="255">
        <f>VLOOKUP(A7,'PYExhE Data'!$A$7:$V$31,20,FALSE)</f>
        <v>0</v>
      </c>
      <c r="U7" s="255">
        <f>VLOOKUP(A7,'PYExhE Data'!$A$7:$V$31,21,FALSE)</f>
        <v>0</v>
      </c>
      <c r="V7" s="255">
        <f>VLOOKUP(A7,'PYExhE Data'!$A$7:$V$31,22,FALSE)</f>
        <v>0</v>
      </c>
      <c r="W7" s="250"/>
      <c r="X7" s="250">
        <f>SUM(D7:W7)</f>
        <v>2443144</v>
      </c>
    </row>
    <row r="8" spans="1:24" x14ac:dyDescent="0.25">
      <c r="A8" s="139">
        <v>2710</v>
      </c>
      <c r="B8" s="136">
        <v>500</v>
      </c>
      <c r="C8" s="141" t="s">
        <v>42</v>
      </c>
      <c r="D8" s="140"/>
      <c r="E8" s="182"/>
      <c r="F8" s="255">
        <f>VLOOKUP(A8,'PYExhE Data'!$A$7:$V$31,6,FALSE)</f>
        <v>58816783</v>
      </c>
      <c r="G8" s="255">
        <f>VLOOKUP(A8,'PYExhE Data'!$A$7:$V$31,7,FALSE)</f>
        <v>26349306</v>
      </c>
      <c r="H8" s="256"/>
      <c r="I8" s="255">
        <f>VLOOKUP(A8,'PYExhE Data'!$A$7:$V$31,9,FALSE)</f>
        <v>29172104</v>
      </c>
      <c r="J8" s="255">
        <f>VLOOKUP(A8,'PYExhE Data'!$A$7:$V$31,10,FALSE)</f>
        <v>3247050</v>
      </c>
      <c r="K8" s="256"/>
      <c r="L8" s="255">
        <f>VLOOKUP(A8,'PYExhE Data'!$A$7:$V$31,12,FALSE)</f>
        <v>10518917</v>
      </c>
      <c r="M8" s="255">
        <f>VLOOKUP(A8,'PYExhE Data'!$A$7:$V$31,13,FALSE)</f>
        <v>4916002</v>
      </c>
      <c r="N8" s="256"/>
      <c r="O8" s="255">
        <f>VLOOKUP(A8,'PYExhE Data'!$A$7:$V$31,15,FALSE)</f>
        <v>0</v>
      </c>
      <c r="P8" s="256"/>
      <c r="Q8" s="255">
        <f>VLOOKUP(A8,'PYExhE Data'!$A$7:$V$31,17,FALSE)</f>
        <v>33476851</v>
      </c>
      <c r="R8" s="256"/>
      <c r="S8" s="256"/>
      <c r="T8" s="255">
        <f>VLOOKUP(A8,'PYExhE Data'!$A$7:$V$31,20,FALSE)</f>
        <v>12782482</v>
      </c>
      <c r="U8" s="255">
        <f>VLOOKUP(A8,'PYExhE Data'!$A$7:$V$31,21,FALSE)</f>
        <v>4347561</v>
      </c>
      <c r="V8" s="255">
        <f>VLOOKUP(A8,'PYExhE Data'!$A$7:$V$31,22,FALSE)</f>
        <v>5296022</v>
      </c>
      <c r="W8" s="250"/>
      <c r="X8" s="250">
        <f t="shared" ref="X8:X15" si="0">SUM(D8:W8)</f>
        <v>188923078</v>
      </c>
    </row>
    <row r="9" spans="1:24" x14ac:dyDescent="0.25">
      <c r="A9" s="139">
        <v>2890</v>
      </c>
      <c r="B9" s="136">
        <v>510</v>
      </c>
      <c r="C9" s="141" t="s">
        <v>43</v>
      </c>
      <c r="D9" s="140"/>
      <c r="E9" s="182"/>
      <c r="F9" s="255">
        <f>VLOOKUP(A9,'PYExhE Data'!$A$7:$V$31,6,FALSE)</f>
        <v>100</v>
      </c>
      <c r="G9" s="255">
        <f>VLOOKUP(A9,'PYExhE Data'!$A$7:$V$31,7,FALSE)</f>
        <v>1140304</v>
      </c>
      <c r="H9" s="256"/>
      <c r="I9" s="255">
        <f>VLOOKUP(A9,'PYExhE Data'!$A$7:$V$31,9,FALSE)</f>
        <v>154369</v>
      </c>
      <c r="J9" s="255">
        <f>VLOOKUP(A9,'PYExhE Data'!$A$7:$V$31,10,FALSE)</f>
        <v>661996</v>
      </c>
      <c r="K9" s="256"/>
      <c r="L9" s="255">
        <f>VLOOKUP(A9,'PYExhE Data'!$A$7:$V$31,12,FALSE)</f>
        <v>0</v>
      </c>
      <c r="M9" s="255">
        <f>VLOOKUP(A9,'PYExhE Data'!$A$7:$V$31,13,FALSE)</f>
        <v>0</v>
      </c>
      <c r="N9" s="256"/>
      <c r="O9" s="255">
        <f>VLOOKUP(A9,'PYExhE Data'!$A$7:$V$31,15,FALSE)</f>
        <v>0</v>
      </c>
      <c r="P9" s="256"/>
      <c r="Q9" s="255">
        <f>VLOOKUP(A9,'PYExhE Data'!$A$7:$V$31,17,FALSE)</f>
        <v>0</v>
      </c>
      <c r="R9" s="256"/>
      <c r="S9" s="256"/>
      <c r="T9" s="255">
        <f>VLOOKUP(A9,'PYExhE Data'!$A$7:$V$31,20,FALSE)</f>
        <v>0</v>
      </c>
      <c r="U9" s="255">
        <f>VLOOKUP(A9,'PYExhE Data'!$A$7:$V$31,21,FALSE)</f>
        <v>0</v>
      </c>
      <c r="V9" s="255">
        <f>VLOOKUP(A9,'PYExhE Data'!$A$7:$V$31,22,FALSE)</f>
        <v>0</v>
      </c>
      <c r="W9" s="250"/>
      <c r="X9" s="250">
        <f t="shared" si="0"/>
        <v>1956769</v>
      </c>
    </row>
    <row r="10" spans="1:24" x14ac:dyDescent="0.25">
      <c r="A10" s="139">
        <v>2900</v>
      </c>
      <c r="B10" s="136">
        <v>520</v>
      </c>
      <c r="C10" s="141" t="s">
        <v>45</v>
      </c>
      <c r="D10" s="140"/>
      <c r="E10" s="182"/>
      <c r="F10" s="255">
        <f>VLOOKUP(A10,'PYExhE Data'!$A$7:$V$31,6,FALSE)</f>
        <v>38087184</v>
      </c>
      <c r="G10" s="255">
        <f>VLOOKUP(A10,'PYExhE Data'!$A$7:$V$31,7,FALSE)</f>
        <v>58505621</v>
      </c>
      <c r="H10" s="256"/>
      <c r="I10" s="255">
        <f>VLOOKUP(A10,'PYExhE Data'!$A$7:$V$31,9,FALSE)</f>
        <v>7059767</v>
      </c>
      <c r="J10" s="255">
        <f>VLOOKUP(A10,'PYExhE Data'!$A$7:$V$31,10,FALSE)</f>
        <v>846520</v>
      </c>
      <c r="K10" s="256"/>
      <c r="L10" s="255">
        <f>VLOOKUP(A10,'PYExhE Data'!$A$7:$V$31,12,FALSE)</f>
        <v>8923240</v>
      </c>
      <c r="M10" s="255">
        <f>VLOOKUP(A10,'PYExhE Data'!$A$7:$V$31,13,FALSE)</f>
        <v>64650</v>
      </c>
      <c r="N10" s="256"/>
      <c r="O10" s="255">
        <f>VLOOKUP(A10,'PYExhE Data'!$A$7:$V$31,15,FALSE)</f>
        <v>0</v>
      </c>
      <c r="P10" s="256"/>
      <c r="Q10" s="255">
        <f>VLOOKUP(A10,'PYExhE Data'!$A$7:$V$31,17,FALSE)</f>
        <v>0</v>
      </c>
      <c r="R10" s="256"/>
      <c r="S10" s="256"/>
      <c r="T10" s="255">
        <f>VLOOKUP(A10,'PYExhE Data'!$A$7:$V$31,20,FALSE)</f>
        <v>1358344</v>
      </c>
      <c r="U10" s="255">
        <f>VLOOKUP(A10,'PYExhE Data'!$A$7:$V$31,21,FALSE)</f>
        <v>0</v>
      </c>
      <c r="V10" s="255">
        <f>VLOOKUP(A10,'PYExhE Data'!$A$7:$V$31,22,FALSE)</f>
        <v>0</v>
      </c>
      <c r="W10" s="250"/>
      <c r="X10" s="250">
        <f t="shared" si="0"/>
        <v>114845326</v>
      </c>
    </row>
    <row r="11" spans="1:24" x14ac:dyDescent="0.25">
      <c r="A11" s="139">
        <v>2760</v>
      </c>
      <c r="B11" s="136">
        <v>530</v>
      </c>
      <c r="C11" s="141" t="s">
        <v>19</v>
      </c>
      <c r="D11" s="140"/>
      <c r="E11" s="182"/>
      <c r="F11" s="255">
        <f>VLOOKUP(A11,'PYExhE Data'!$A$7:$V$31,6,FALSE)</f>
        <v>335913531</v>
      </c>
      <c r="G11" s="255">
        <f>VLOOKUP(A11,'PYExhE Data'!$A$7:$V$31,7,FALSE)</f>
        <v>196198038</v>
      </c>
      <c r="H11" s="256"/>
      <c r="I11" s="255">
        <f>VLOOKUP(A11,'PYExhE Data'!$A$7:$V$31,9,FALSE)</f>
        <v>45363998</v>
      </c>
      <c r="J11" s="255">
        <f>VLOOKUP(A11,'PYExhE Data'!$A$7:$V$31,10,FALSE)</f>
        <v>14387165</v>
      </c>
      <c r="K11" s="256"/>
      <c r="L11" s="255">
        <f>VLOOKUP(A11,'PYExhE Data'!$A$7:$V$31,12,FALSE)</f>
        <v>42528998</v>
      </c>
      <c r="M11" s="255">
        <f>VLOOKUP(A11,'PYExhE Data'!$A$7:$V$31,13,FALSE)</f>
        <v>617080</v>
      </c>
      <c r="N11" s="256"/>
      <c r="O11" s="255">
        <f>VLOOKUP(A11,'PYExhE Data'!$A$7:$V$31,15,FALSE)</f>
        <v>0</v>
      </c>
      <c r="P11" s="256"/>
      <c r="Q11" s="255">
        <f>VLOOKUP(A11,'PYExhE Data'!$A$7:$V$31,17,FALSE)</f>
        <v>7991169</v>
      </c>
      <c r="R11" s="256"/>
      <c r="S11" s="256"/>
      <c r="T11" s="255">
        <f>VLOOKUP(A11,'PYExhE Data'!$A$7:$V$31,20,FALSE)</f>
        <v>4136267</v>
      </c>
      <c r="U11" s="255">
        <f>VLOOKUP(A11,'PYExhE Data'!$A$7:$V$31,21,FALSE)</f>
        <v>24475814</v>
      </c>
      <c r="V11" s="255">
        <f>VLOOKUP(A11,'PYExhE Data'!$A$7:$V$31,22,FALSE)</f>
        <v>5565897</v>
      </c>
      <c r="W11" s="250"/>
      <c r="X11" s="250">
        <f t="shared" si="0"/>
        <v>677177957</v>
      </c>
    </row>
    <row r="12" spans="1:24" x14ac:dyDescent="0.25">
      <c r="A12" s="139">
        <v>2310</v>
      </c>
      <c r="B12" s="136">
        <v>540</v>
      </c>
      <c r="C12" s="141" t="s">
        <v>49</v>
      </c>
      <c r="D12" s="140"/>
      <c r="E12" s="182"/>
      <c r="F12" s="255">
        <f>VLOOKUP(A12,'PYExhE Data'!$A$7:$V$31,6,FALSE)</f>
        <v>0</v>
      </c>
      <c r="G12" s="255">
        <f>VLOOKUP(A12,'PYExhE Data'!$A$7:$V$31,7,FALSE)</f>
        <v>0</v>
      </c>
      <c r="H12" s="256"/>
      <c r="I12" s="255">
        <f>VLOOKUP(A12,'PYExhE Data'!$A$7:$V$31,9,FALSE)</f>
        <v>0</v>
      </c>
      <c r="J12" s="255">
        <f>VLOOKUP(A12,'PYExhE Data'!$A$7:$V$31,10,FALSE)</f>
        <v>126249</v>
      </c>
      <c r="K12" s="256"/>
      <c r="L12" s="255">
        <f>VLOOKUP(A12,'PYExhE Data'!$A$7:$V$31,12,FALSE)</f>
        <v>0</v>
      </c>
      <c r="M12" s="255">
        <f>VLOOKUP(A12,'PYExhE Data'!$A$7:$V$31,13,FALSE)</f>
        <v>4739300</v>
      </c>
      <c r="N12" s="256"/>
      <c r="O12" s="255">
        <f>VLOOKUP(A12,'PYExhE Data'!$A$7:$V$31,15,FALSE)</f>
        <v>0</v>
      </c>
      <c r="P12" s="256"/>
      <c r="Q12" s="255">
        <f>VLOOKUP(A12,'PYExhE Data'!$A$7:$V$31,17,FALSE)</f>
        <v>0</v>
      </c>
      <c r="R12" s="256"/>
      <c r="S12" s="256"/>
      <c r="T12" s="255">
        <f>VLOOKUP(A12,'PYExhE Data'!$A$7:$V$31,20,FALSE)</f>
        <v>0</v>
      </c>
      <c r="U12" s="255">
        <f>VLOOKUP(A12,'PYExhE Data'!$A$7:$V$31,21,FALSE)</f>
        <v>0</v>
      </c>
      <c r="V12" s="255">
        <f>VLOOKUP(A12,'PYExhE Data'!$A$7:$V$31,22,FALSE)</f>
        <v>0</v>
      </c>
      <c r="W12" s="250"/>
      <c r="X12" s="250">
        <f t="shared" si="0"/>
        <v>4865549</v>
      </c>
    </row>
    <row r="13" spans="1:24" x14ac:dyDescent="0.25">
      <c r="A13" s="139">
        <v>2420</v>
      </c>
      <c r="B13" s="136">
        <v>550</v>
      </c>
      <c r="C13" s="141" t="s">
        <v>50</v>
      </c>
      <c r="D13" s="140"/>
      <c r="E13" s="182"/>
      <c r="F13" s="255">
        <f>VLOOKUP(A13,'PYExhE Data'!$A$7:$V$31,6,FALSE)</f>
        <v>0</v>
      </c>
      <c r="G13" s="255">
        <f>VLOOKUP(A13,'PYExhE Data'!$A$7:$V$31,7,FALSE)</f>
        <v>0</v>
      </c>
      <c r="H13" s="256"/>
      <c r="I13" s="255">
        <f>VLOOKUP(A13,'PYExhE Data'!$A$7:$V$31,9,FALSE)</f>
        <v>0</v>
      </c>
      <c r="J13" s="255">
        <f>VLOOKUP(A13,'PYExhE Data'!$A$7:$V$31,10,FALSE)</f>
        <v>234287</v>
      </c>
      <c r="K13" s="256"/>
      <c r="L13" s="255">
        <f>VLOOKUP(A13,'PYExhE Data'!$A$7:$V$31,12,FALSE)</f>
        <v>0</v>
      </c>
      <c r="M13" s="255">
        <f>VLOOKUP(A13,'PYExhE Data'!$A$7:$V$31,13,FALSE)</f>
        <v>14958030</v>
      </c>
      <c r="N13" s="256"/>
      <c r="O13" s="255">
        <f>VLOOKUP(A13,'PYExhE Data'!$A$7:$V$31,15,FALSE)</f>
        <v>0</v>
      </c>
      <c r="P13" s="256"/>
      <c r="Q13" s="255">
        <f>VLOOKUP(A13,'PYExhE Data'!$A$7:$V$31,17,FALSE)</f>
        <v>2069974</v>
      </c>
      <c r="R13" s="256"/>
      <c r="S13" s="256"/>
      <c r="T13" s="255">
        <f>VLOOKUP(A13,'PYExhE Data'!$A$7:$V$31,20,FALSE)</f>
        <v>24996</v>
      </c>
      <c r="U13" s="255">
        <f>VLOOKUP(A13,'PYExhE Data'!$A$7:$V$31,21,FALSE)</f>
        <v>0</v>
      </c>
      <c r="V13" s="255">
        <f>VLOOKUP(A13,'PYExhE Data'!$A$7:$V$31,22,FALSE)</f>
        <v>0</v>
      </c>
      <c r="W13" s="250"/>
      <c r="X13" s="250">
        <f t="shared" si="0"/>
        <v>17287287</v>
      </c>
    </row>
    <row r="14" spans="1:24" x14ac:dyDescent="0.25">
      <c r="A14" s="139">
        <v>2740</v>
      </c>
      <c r="B14" s="136">
        <v>555</v>
      </c>
      <c r="C14" s="141" t="s">
        <v>105</v>
      </c>
      <c r="D14" s="140"/>
      <c r="E14" s="182"/>
      <c r="F14" s="255">
        <f>VLOOKUP(A14,'PYExhE Data'!$A$7:$V$31,6,FALSE)</f>
        <v>0</v>
      </c>
      <c r="G14" s="255">
        <f>VLOOKUP(A14,'PYExhE Data'!$A$7:$V$31,7,FALSE)</f>
        <v>0</v>
      </c>
      <c r="H14" s="256"/>
      <c r="I14" s="255">
        <f>VLOOKUP(A14,'PYExhE Data'!$A$7:$V$31,9,FALSE)</f>
        <v>0</v>
      </c>
      <c r="J14" s="255">
        <f>VLOOKUP(A14,'PYExhE Data'!$A$7:$V$31,10,FALSE)</f>
        <v>123185</v>
      </c>
      <c r="K14" s="256"/>
      <c r="L14" s="255">
        <f>VLOOKUP(A14,'PYExhE Data'!$A$7:$V$31,12,FALSE)</f>
        <v>0</v>
      </c>
      <c r="M14" s="255">
        <f>VLOOKUP(A14,'PYExhE Data'!$A$7:$V$31,13,FALSE)</f>
        <v>0</v>
      </c>
      <c r="N14" s="256"/>
      <c r="O14" s="255">
        <f>VLOOKUP(A14,'PYExhE Data'!$A$7:$V$31,15,FALSE)</f>
        <v>0</v>
      </c>
      <c r="P14" s="256"/>
      <c r="Q14" s="255">
        <f>VLOOKUP(A14,'PYExhE Data'!$A$7:$V$31,17,FALSE)</f>
        <v>0</v>
      </c>
      <c r="R14" s="256"/>
      <c r="S14" s="256"/>
      <c r="T14" s="255">
        <f>VLOOKUP(A14,'PYExhE Data'!$A$7:$V$31,20,FALSE)</f>
        <v>0</v>
      </c>
      <c r="U14" s="255">
        <f>VLOOKUP(A14,'PYExhE Data'!$A$7:$V$31,21,FALSE)</f>
        <v>0</v>
      </c>
      <c r="V14" s="255">
        <f>VLOOKUP(A14,'PYExhE Data'!$A$7:$V$31,22,FALSE)</f>
        <v>0</v>
      </c>
      <c r="W14" s="250"/>
      <c r="X14" s="250">
        <f>SUM(D14:W14)</f>
        <v>123185</v>
      </c>
    </row>
    <row r="15" spans="1:24" x14ac:dyDescent="0.25">
      <c r="A15" s="139">
        <v>2800</v>
      </c>
      <c r="B15" s="136">
        <v>560</v>
      </c>
      <c r="C15" s="141" t="s">
        <v>300</v>
      </c>
      <c r="D15" s="140"/>
      <c r="E15" s="182"/>
      <c r="F15" s="255">
        <f>VLOOKUP(A15,'PYExhE Data'!$A$7:$V$31,6,FALSE)</f>
        <v>719946</v>
      </c>
      <c r="G15" s="255">
        <f>VLOOKUP(A15,'PYExhE Data'!$A$7:$V$31,7,FALSE)</f>
        <v>31071311</v>
      </c>
      <c r="H15" s="256"/>
      <c r="I15" s="255">
        <f>VLOOKUP(A15,'PYExhE Data'!$A$7:$V$31,9,FALSE)</f>
        <v>212387</v>
      </c>
      <c r="J15" s="255">
        <f>VLOOKUP(A15,'PYExhE Data'!$A$7:$V$31,10,FALSE)</f>
        <v>26966</v>
      </c>
      <c r="K15" s="256"/>
      <c r="L15" s="255">
        <f>VLOOKUP(A15,'PYExhE Data'!$A$7:$V$31,12,FALSE)</f>
        <v>1378607</v>
      </c>
      <c r="M15" s="255">
        <f>VLOOKUP(A15,'PYExhE Data'!$A$7:$V$31,13,FALSE)</f>
        <v>962906</v>
      </c>
      <c r="N15" s="256"/>
      <c r="O15" s="255">
        <f>VLOOKUP(A15,'PYExhE Data'!$A$7:$V$31,15,FALSE)</f>
        <v>0</v>
      </c>
      <c r="P15" s="256"/>
      <c r="Q15" s="255">
        <f>VLOOKUP(A15,'PYExhE Data'!$A$7:$V$31,17,FALSE)</f>
        <v>851159</v>
      </c>
      <c r="R15" s="256"/>
      <c r="S15" s="256"/>
      <c r="T15" s="255">
        <f>VLOOKUP(A15,'PYExhE Data'!$A$7:$V$31,20,FALSE)</f>
        <v>1289053</v>
      </c>
      <c r="U15" s="255">
        <f>VLOOKUP(A15,'PYExhE Data'!$A$7:$V$31,21,FALSE)</f>
        <v>135175</v>
      </c>
      <c r="V15" s="255">
        <f>VLOOKUP(A15,'PYExhE Data'!$A$7:$V$31,22,FALSE)</f>
        <v>62828</v>
      </c>
      <c r="W15" s="250"/>
      <c r="X15" s="250">
        <f t="shared" si="0"/>
        <v>36710338</v>
      </c>
    </row>
    <row r="16" spans="1:24" x14ac:dyDescent="0.25">
      <c r="A16" s="139"/>
      <c r="B16" s="136"/>
      <c r="C16" s="138" t="s">
        <v>20</v>
      </c>
      <c r="D16" s="140"/>
      <c r="E16" s="142">
        <f t="shared" ref="E16:V16" si="1">SUM(E7:E15)</f>
        <v>0</v>
      </c>
      <c r="F16" s="257">
        <f t="shared" si="1"/>
        <v>433537544</v>
      </c>
      <c r="G16" s="257">
        <f t="shared" si="1"/>
        <v>313955538</v>
      </c>
      <c r="H16" s="257">
        <f t="shared" si="1"/>
        <v>0</v>
      </c>
      <c r="I16" s="257">
        <f t="shared" si="1"/>
        <v>82025871</v>
      </c>
      <c r="J16" s="257">
        <f t="shared" si="1"/>
        <v>21342358</v>
      </c>
      <c r="K16" s="257">
        <f t="shared" si="1"/>
        <v>0</v>
      </c>
      <c r="L16" s="257">
        <f t="shared" si="1"/>
        <v>63349762</v>
      </c>
      <c r="M16" s="257">
        <f t="shared" si="1"/>
        <v>26257968</v>
      </c>
      <c r="N16" s="257">
        <f t="shared" si="1"/>
        <v>0</v>
      </c>
      <c r="O16" s="257">
        <f t="shared" si="1"/>
        <v>0</v>
      </c>
      <c r="P16" s="257">
        <f t="shared" si="1"/>
        <v>0</v>
      </c>
      <c r="Q16" s="257">
        <f t="shared" si="1"/>
        <v>44389153</v>
      </c>
      <c r="R16" s="257">
        <f t="shared" si="1"/>
        <v>0</v>
      </c>
      <c r="S16" s="257">
        <f t="shared" si="1"/>
        <v>0</v>
      </c>
      <c r="T16" s="257">
        <f t="shared" si="1"/>
        <v>19591142</v>
      </c>
      <c r="U16" s="257">
        <f t="shared" si="1"/>
        <v>28958550</v>
      </c>
      <c r="V16" s="257">
        <f t="shared" si="1"/>
        <v>10924747</v>
      </c>
      <c r="W16" s="257"/>
      <c r="X16" s="257">
        <f>SUM(X7:X15)</f>
        <v>1044332633</v>
      </c>
    </row>
    <row r="17" spans="1:24" x14ac:dyDescent="0.25">
      <c r="A17" s="139"/>
      <c r="B17" s="137"/>
      <c r="C17" s="140"/>
      <c r="D17" s="140"/>
      <c r="E17" s="140"/>
      <c r="F17" s="250"/>
      <c r="G17" s="250"/>
      <c r="H17" s="250"/>
      <c r="I17" s="250"/>
      <c r="J17" s="250"/>
      <c r="K17" s="250"/>
      <c r="L17" s="250"/>
      <c r="M17" s="250"/>
      <c r="N17" s="250"/>
      <c r="O17" s="250"/>
      <c r="P17" s="250"/>
      <c r="Q17" s="250"/>
      <c r="R17" s="250"/>
      <c r="S17" s="250"/>
      <c r="T17" s="250"/>
      <c r="U17" s="250"/>
      <c r="V17" s="250"/>
      <c r="W17" s="250"/>
      <c r="X17" s="250"/>
    </row>
    <row r="18" spans="1:24" x14ac:dyDescent="0.25">
      <c r="A18" s="139"/>
      <c r="B18" s="137"/>
      <c r="C18" s="135" t="s">
        <v>21</v>
      </c>
      <c r="D18" s="140"/>
      <c r="E18" s="140"/>
      <c r="F18" s="250"/>
      <c r="G18" s="250"/>
      <c r="H18" s="250"/>
      <c r="I18" s="250"/>
      <c r="J18" s="250"/>
      <c r="K18" s="250"/>
      <c r="L18" s="250"/>
      <c r="M18" s="250"/>
      <c r="N18" s="250"/>
      <c r="O18" s="250"/>
      <c r="P18" s="250"/>
      <c r="Q18" s="250"/>
      <c r="R18" s="250"/>
      <c r="S18" s="250"/>
      <c r="T18" s="250"/>
      <c r="U18" s="250"/>
      <c r="V18" s="250"/>
      <c r="W18" s="250"/>
      <c r="X18" s="250"/>
    </row>
    <row r="19" spans="1:24" ht="15" x14ac:dyDescent="0.25">
      <c r="A19" s="139">
        <v>2594</v>
      </c>
      <c r="B19" s="143">
        <v>604</v>
      </c>
      <c r="C19" s="144" t="s">
        <v>301</v>
      </c>
      <c r="D19" s="145"/>
      <c r="E19" s="184"/>
      <c r="F19" s="255">
        <f>VLOOKUP(A19,'PYExhE Data'!$A$7:$V$31,6,FALSE)</f>
        <v>0</v>
      </c>
      <c r="G19" s="255">
        <f>VLOOKUP(A19,'PYExhE Data'!$A$7:$V$31,7,FALSE)</f>
        <v>8283043</v>
      </c>
      <c r="H19" s="256"/>
      <c r="I19" s="255">
        <f>VLOOKUP(A19,'PYExhE Data'!$A$7:$V$31,9,FALSE)</f>
        <v>0</v>
      </c>
      <c r="J19" s="255">
        <f>VLOOKUP(A19,'PYExhE Data'!$A$7:$V$31,10,FALSE)</f>
        <v>0</v>
      </c>
      <c r="K19" s="256"/>
      <c r="L19" s="255">
        <f>VLOOKUP(A19,'PYExhE Data'!$A$7:$V$31,12,FALSE)</f>
        <v>0</v>
      </c>
      <c r="M19" s="255">
        <f>VLOOKUP(A19,'PYExhE Data'!$A$7:$V$31,13,FALSE)</f>
        <v>997739</v>
      </c>
      <c r="N19" s="256"/>
      <c r="O19" s="255">
        <f>VLOOKUP(A19,'PYExhE Data'!$A$7:$V$31,15,FALSE)</f>
        <v>0</v>
      </c>
      <c r="P19" s="256"/>
      <c r="Q19" s="255">
        <f>VLOOKUP(A19,'PYExhE Data'!$A$7:$V$31,17,FALSE)</f>
        <v>892898</v>
      </c>
      <c r="R19" s="256"/>
      <c r="S19" s="256"/>
      <c r="T19" s="255">
        <f>VLOOKUP(A19,'PYExhE Data'!$A$7:$V$31,20,FALSE)</f>
        <v>933124</v>
      </c>
      <c r="U19" s="255">
        <f>VLOOKUP(A19,'PYExhE Data'!$A$7:$V$31,21,FALSE)</f>
        <v>2146559</v>
      </c>
      <c r="V19" s="255">
        <f>VLOOKUP(A19,'PYExhE Data'!$A$7:$V$31,22,FALSE)</f>
        <v>0</v>
      </c>
      <c r="W19" s="145"/>
      <c r="X19" s="145">
        <f>SUM(D19:W19)</f>
        <v>13253363</v>
      </c>
    </row>
    <row r="20" spans="1:24" ht="15" x14ac:dyDescent="0.25">
      <c r="A20" s="139">
        <v>2595</v>
      </c>
      <c r="B20" s="143">
        <v>600</v>
      </c>
      <c r="C20" s="144" t="s">
        <v>302</v>
      </c>
      <c r="D20" s="145"/>
      <c r="E20" s="184"/>
      <c r="F20" s="255">
        <f>VLOOKUP(A20,'PYExhE Data'!$A$7:$V$31,6,FALSE)</f>
        <v>45403463</v>
      </c>
      <c r="G20" s="255">
        <f>VLOOKUP(A20,'PYExhE Data'!$A$7:$V$31,7,FALSE)</f>
        <v>23428672</v>
      </c>
      <c r="H20" s="256"/>
      <c r="I20" s="255">
        <f>VLOOKUP(A20,'PYExhE Data'!$A$7:$V$31,9,FALSE)</f>
        <v>9683141</v>
      </c>
      <c r="J20" s="255">
        <f>VLOOKUP(A20,'PYExhE Data'!$A$7:$V$31,10,FALSE)</f>
        <v>2699047</v>
      </c>
      <c r="K20" s="256"/>
      <c r="L20" s="255">
        <f>VLOOKUP(A20,'PYExhE Data'!$A$7:$V$31,12,FALSE)</f>
        <v>0</v>
      </c>
      <c r="M20" s="255">
        <f>VLOOKUP(A20,'PYExhE Data'!$A$7:$V$31,13,FALSE)</f>
        <v>781538</v>
      </c>
      <c r="N20" s="256"/>
      <c r="O20" s="255">
        <f>VLOOKUP(A20,'PYExhE Data'!$A$7:$V$31,15,FALSE)</f>
        <v>0</v>
      </c>
      <c r="P20" s="256"/>
      <c r="Q20" s="255">
        <f>VLOOKUP(A20,'PYExhE Data'!$A$7:$V$31,17,FALSE)</f>
        <v>41579</v>
      </c>
      <c r="R20" s="256"/>
      <c r="S20" s="256"/>
      <c r="T20" s="255">
        <f>VLOOKUP(A20,'PYExhE Data'!$A$7:$V$31,20,FALSE)</f>
        <v>1195837</v>
      </c>
      <c r="U20" s="255">
        <f>VLOOKUP(A20,'PYExhE Data'!$A$7:$V$31,21,FALSE)</f>
        <v>2227217</v>
      </c>
      <c r="V20" s="255">
        <f>VLOOKUP(A20,'PYExhE Data'!$A$7:$V$31,22,FALSE)</f>
        <v>5264</v>
      </c>
      <c r="W20" s="145"/>
      <c r="X20" s="145">
        <f>SUM(D20:W20)</f>
        <v>85465758</v>
      </c>
    </row>
    <row r="21" spans="1:24" ht="15" x14ac:dyDescent="0.25">
      <c r="A21" s="139">
        <v>2596</v>
      </c>
      <c r="B21" s="143">
        <v>602</v>
      </c>
      <c r="C21" s="144" t="s">
        <v>303</v>
      </c>
      <c r="D21" s="145"/>
      <c r="E21" s="184"/>
      <c r="F21" s="255">
        <f>VLOOKUP(A21,'PYExhE Data'!$A$7:$V$31,6,FALSE)</f>
        <v>0</v>
      </c>
      <c r="G21" s="255">
        <f>VLOOKUP(A21,'PYExhE Data'!$A$7:$V$31,7,FALSE)</f>
        <v>27585670</v>
      </c>
      <c r="H21" s="256"/>
      <c r="I21" s="255">
        <f>VLOOKUP(A21,'PYExhE Data'!$A$7:$V$31,9,FALSE)</f>
        <v>154369</v>
      </c>
      <c r="J21" s="255">
        <f>VLOOKUP(A21,'PYExhE Data'!$A$7:$V$31,10,FALSE)</f>
        <v>864787</v>
      </c>
      <c r="K21" s="256"/>
      <c r="L21" s="255">
        <f>VLOOKUP(A21,'PYExhE Data'!$A$7:$V$31,12,FALSE)</f>
        <v>0</v>
      </c>
      <c r="M21" s="255">
        <f>VLOOKUP(A21,'PYExhE Data'!$A$7:$V$31,13,FALSE)</f>
        <v>0</v>
      </c>
      <c r="N21" s="256"/>
      <c r="O21" s="255">
        <f>VLOOKUP(A21,'PYExhE Data'!$A$7:$V$31,15,FALSE)</f>
        <v>0</v>
      </c>
      <c r="P21" s="256"/>
      <c r="Q21" s="255">
        <f>VLOOKUP(A21,'PYExhE Data'!$A$7:$V$31,17,FALSE)</f>
        <v>0</v>
      </c>
      <c r="R21" s="256"/>
      <c r="S21" s="256"/>
      <c r="T21" s="255">
        <f>VLOOKUP(A21,'PYExhE Data'!$A$7:$V$31,20,FALSE)</f>
        <v>0</v>
      </c>
      <c r="U21" s="255">
        <f>VLOOKUP(A21,'PYExhE Data'!$A$7:$V$31,21,FALSE)</f>
        <v>0</v>
      </c>
      <c r="V21" s="255">
        <f>VLOOKUP(A21,'PYExhE Data'!$A$7:$V$31,22,FALSE)</f>
        <v>0</v>
      </c>
      <c r="W21" s="145"/>
      <c r="X21" s="145">
        <f>SUM(D21:W21)</f>
        <v>28604826</v>
      </c>
    </row>
    <row r="22" spans="1:24" x14ac:dyDescent="0.25">
      <c r="A22" s="139">
        <v>2630</v>
      </c>
      <c r="B22" s="136">
        <v>610</v>
      </c>
      <c r="C22" s="146" t="s">
        <v>47</v>
      </c>
      <c r="D22" s="140"/>
      <c r="E22" s="185"/>
      <c r="F22" s="255">
        <f>VLOOKUP(A22,'PYExhE Data'!$A$7:$V$31,6,FALSE)</f>
        <v>19517368</v>
      </c>
      <c r="G22" s="258">
        <f>VLOOKUP(A22,'PYExhE Data'!$A$7:$V$31,7,FALSE)</f>
        <v>7137402</v>
      </c>
      <c r="H22" s="259"/>
      <c r="I22" s="258">
        <f>VLOOKUP(A22,'PYExhE Data'!$A$7:$V$31,9,FALSE)</f>
        <v>6166183</v>
      </c>
      <c r="J22" s="258">
        <f>VLOOKUP(A22,'PYExhE Data'!$A$7:$V$31,10,FALSE)</f>
        <v>2087546</v>
      </c>
      <c r="K22" s="259"/>
      <c r="L22" s="258">
        <f>VLOOKUP(A22,'PYExhE Data'!$A$7:$V$31,12,FALSE)</f>
        <v>10259720</v>
      </c>
      <c r="M22" s="258">
        <f>VLOOKUP(A22,'PYExhE Data'!$A$7:$V$31,13,FALSE)</f>
        <v>20031849</v>
      </c>
      <c r="N22" s="259"/>
      <c r="O22" s="258">
        <f>VLOOKUP(A22,'PYExhE Data'!$A$7:$V$31,15,FALSE)</f>
        <v>0</v>
      </c>
      <c r="P22" s="259"/>
      <c r="Q22" s="255">
        <f>VLOOKUP(A22,'PYExhE Data'!$A$7:$V$31,17,FALSE)</f>
        <v>3722353</v>
      </c>
      <c r="R22" s="259"/>
      <c r="S22" s="259"/>
      <c r="T22" s="255">
        <f>VLOOKUP(A22,'PYExhE Data'!$A$7:$V$31,20,FALSE)</f>
        <v>4544017</v>
      </c>
      <c r="U22" s="255">
        <f>VLOOKUP(A22,'PYExhE Data'!$A$7:$V$31,21,FALSE)</f>
        <v>559844</v>
      </c>
      <c r="V22" s="255">
        <f>VLOOKUP(A22,'PYExhE Data'!$A$7:$V$31,22,FALSE)</f>
        <v>4669845</v>
      </c>
      <c r="W22" s="260"/>
      <c r="X22" s="260">
        <f>SUM(D22:W22)</f>
        <v>78696127</v>
      </c>
    </row>
    <row r="23" spans="1:24" x14ac:dyDescent="0.25">
      <c r="A23" s="139"/>
      <c r="B23" s="137"/>
      <c r="C23" s="138" t="s">
        <v>22</v>
      </c>
      <c r="D23" s="140"/>
      <c r="E23" s="147">
        <f>SUM(E19:E22)</f>
        <v>0</v>
      </c>
      <c r="F23" s="260">
        <f t="shared" ref="F23:X23" si="2">SUM(F19:F22)</f>
        <v>64920831</v>
      </c>
      <c r="G23" s="260">
        <f t="shared" si="2"/>
        <v>66434787</v>
      </c>
      <c r="H23" s="260">
        <f t="shared" si="2"/>
        <v>0</v>
      </c>
      <c r="I23" s="260">
        <f t="shared" si="2"/>
        <v>16003693</v>
      </c>
      <c r="J23" s="260">
        <f t="shared" si="2"/>
        <v>5651380</v>
      </c>
      <c r="K23" s="260">
        <f t="shared" si="2"/>
        <v>0</v>
      </c>
      <c r="L23" s="260">
        <f t="shared" si="2"/>
        <v>10259720</v>
      </c>
      <c r="M23" s="260">
        <f t="shared" si="2"/>
        <v>21811126</v>
      </c>
      <c r="N23" s="260">
        <f t="shared" si="2"/>
        <v>0</v>
      </c>
      <c r="O23" s="260">
        <f t="shared" si="2"/>
        <v>0</v>
      </c>
      <c r="P23" s="260">
        <f t="shared" si="2"/>
        <v>0</v>
      </c>
      <c r="Q23" s="260">
        <f t="shared" si="2"/>
        <v>4656830</v>
      </c>
      <c r="R23" s="260">
        <f t="shared" si="2"/>
        <v>0</v>
      </c>
      <c r="S23" s="260">
        <f t="shared" si="2"/>
        <v>0</v>
      </c>
      <c r="T23" s="260">
        <f t="shared" si="2"/>
        <v>6672978</v>
      </c>
      <c r="U23" s="260">
        <f t="shared" si="2"/>
        <v>4933620</v>
      </c>
      <c r="V23" s="260">
        <f>SUM(V19:V22)</f>
        <v>4675109</v>
      </c>
      <c r="W23" s="260"/>
      <c r="X23" s="260">
        <f t="shared" si="2"/>
        <v>206020074</v>
      </c>
    </row>
    <row r="24" spans="1:24" x14ac:dyDescent="0.25">
      <c r="F24" s="35"/>
      <c r="G24" s="35"/>
      <c r="H24" s="35"/>
      <c r="I24" s="35"/>
      <c r="J24" s="35"/>
      <c r="K24" s="35"/>
      <c r="L24" s="35"/>
      <c r="M24" s="35"/>
      <c r="N24" s="35"/>
      <c r="O24" s="35"/>
      <c r="P24" s="35"/>
      <c r="Q24" s="35"/>
      <c r="R24" s="35"/>
      <c r="S24" s="35"/>
      <c r="T24" s="35"/>
      <c r="U24" s="35"/>
      <c r="V24" s="35"/>
      <c r="W24" s="35"/>
      <c r="X24" s="35"/>
    </row>
    <row r="25" spans="1:24" x14ac:dyDescent="0.25">
      <c r="A25" s="139"/>
      <c r="B25" s="140"/>
      <c r="C25" s="141" t="s">
        <v>44</v>
      </c>
      <c r="E25" s="140">
        <f>E16-E23</f>
        <v>0</v>
      </c>
      <c r="F25" s="250">
        <f t="shared" ref="F25:X25" si="3">F16-F23</f>
        <v>368616713</v>
      </c>
      <c r="G25" s="250">
        <f t="shared" si="3"/>
        <v>247520751</v>
      </c>
      <c r="H25" s="250">
        <f t="shared" si="3"/>
        <v>0</v>
      </c>
      <c r="I25" s="250">
        <f t="shared" si="3"/>
        <v>66022178</v>
      </c>
      <c r="J25" s="250">
        <f t="shared" si="3"/>
        <v>15690978</v>
      </c>
      <c r="K25" s="250">
        <f t="shared" si="3"/>
        <v>0</v>
      </c>
      <c r="L25" s="250">
        <f t="shared" si="3"/>
        <v>53090042</v>
      </c>
      <c r="M25" s="250">
        <f t="shared" si="3"/>
        <v>4446842</v>
      </c>
      <c r="N25" s="250">
        <f t="shared" si="3"/>
        <v>0</v>
      </c>
      <c r="O25" s="250">
        <f t="shared" si="3"/>
        <v>0</v>
      </c>
      <c r="P25" s="250">
        <f t="shared" si="3"/>
        <v>0</v>
      </c>
      <c r="Q25" s="250">
        <f t="shared" si="3"/>
        <v>39732323</v>
      </c>
      <c r="R25" s="250">
        <f t="shared" si="3"/>
        <v>0</v>
      </c>
      <c r="S25" s="250">
        <f t="shared" si="3"/>
        <v>0</v>
      </c>
      <c r="T25" s="250">
        <f t="shared" si="3"/>
        <v>12918164</v>
      </c>
      <c r="U25" s="250">
        <f t="shared" si="3"/>
        <v>24024930</v>
      </c>
      <c r="V25" s="250">
        <f>V16-V23</f>
        <v>6249638</v>
      </c>
      <c r="W25" s="35"/>
      <c r="X25" s="250">
        <f t="shared" si="3"/>
        <v>838312559</v>
      </c>
    </row>
    <row r="26" spans="1:24" x14ac:dyDescent="0.25">
      <c r="A26" s="139"/>
      <c r="B26" s="140"/>
      <c r="C26" s="146"/>
      <c r="F26" s="35"/>
      <c r="G26" s="35"/>
      <c r="H26" s="35"/>
      <c r="I26" s="35"/>
      <c r="J26" s="35"/>
      <c r="K26" s="35"/>
      <c r="L26" s="35"/>
      <c r="M26" s="35"/>
      <c r="N26" s="35"/>
      <c r="O26" s="35"/>
      <c r="P26" s="35"/>
      <c r="Q26" s="35"/>
      <c r="R26" s="35"/>
      <c r="S26" s="35"/>
      <c r="T26" s="35"/>
      <c r="U26" s="35"/>
      <c r="V26" s="35"/>
      <c r="W26" s="35"/>
      <c r="X26" s="35"/>
    </row>
    <row r="27" spans="1:24" x14ac:dyDescent="0.25">
      <c r="A27" s="139">
        <v>2980</v>
      </c>
      <c r="B27" s="140"/>
      <c r="C27" s="146" t="s">
        <v>24</v>
      </c>
      <c r="E27" s="186"/>
      <c r="F27" s="255">
        <f>VLOOKUP(A27,'PYExhE Data'!$A$7:$V$31,6,FALSE)</f>
        <v>1045543432</v>
      </c>
      <c r="G27" s="255">
        <f>VLOOKUP(A27,'PYExhE Data'!$A$7:$V$31,7,FALSE)</f>
        <v>642644226</v>
      </c>
      <c r="H27" s="256"/>
      <c r="I27" s="255">
        <f>VLOOKUP(A27,'PYExhE Data'!$A$7:$V$31,9,FALSE)</f>
        <v>173905727</v>
      </c>
      <c r="J27" s="255">
        <f>VLOOKUP(A27,'PYExhE Data'!$A$7:$V$31,10,FALSE)</f>
        <v>41840117</v>
      </c>
      <c r="K27" s="256"/>
      <c r="L27" s="255">
        <f>VLOOKUP(A27,'PYExhE Data'!$A$7:$V$31,12,FALSE)</f>
        <v>150615557</v>
      </c>
      <c r="M27" s="255">
        <f>VLOOKUP(A27,'PYExhE Data'!$A$7:$V$31,13,FALSE)</f>
        <v>28609515</v>
      </c>
      <c r="N27" s="256"/>
      <c r="O27" s="255">
        <f>VLOOKUP(A27,'PYExhE Data'!$A$7:$V$31,15,FALSE)</f>
        <v>21637567</v>
      </c>
      <c r="P27" s="256"/>
      <c r="Q27" s="255">
        <f>VLOOKUP(A27,'PYExhE Data'!$A$7:$V$31,17,FALSE)</f>
        <v>26090923</v>
      </c>
      <c r="R27" s="256"/>
      <c r="S27" s="256"/>
      <c r="T27" s="255">
        <f>VLOOKUP(A27,'PYExhE Data'!$A$7:$V$31,20,FALSE)</f>
        <v>24838468</v>
      </c>
      <c r="U27" s="255">
        <f>VLOOKUP(A27,'PYExhE Data'!$A$7:$V$31,21,FALSE)</f>
        <v>75954220</v>
      </c>
      <c r="V27" s="255">
        <f>VLOOKUP(A27,'PYExhE Data'!$A$7:$V$31,22,FALSE)</f>
        <v>31842309</v>
      </c>
      <c r="W27" s="35"/>
      <c r="X27" s="250">
        <f>SUM(D27:W27)</f>
        <v>2263522061</v>
      </c>
    </row>
    <row r="28" spans="1:24" x14ac:dyDescent="0.25">
      <c r="A28" s="139">
        <v>2990</v>
      </c>
      <c r="B28" s="140"/>
      <c r="C28" s="146" t="s">
        <v>189</v>
      </c>
      <c r="E28" s="186"/>
      <c r="F28" s="255">
        <f>VLOOKUP(A28,'PYExhE Data'!$A$7:$V$31,6,FALSE)</f>
        <v>-53096</v>
      </c>
      <c r="G28" s="255">
        <f>VLOOKUP(A28,'PYExhE Data'!$A$7:$V$31,7,FALSE)</f>
        <v>0</v>
      </c>
      <c r="H28" s="256"/>
      <c r="I28" s="255">
        <f>VLOOKUP(A28,'PYExhE Data'!$A$7:$V$31,9,FALSE)</f>
        <v>0</v>
      </c>
      <c r="J28" s="255">
        <f>VLOOKUP(A28,'PYExhE Data'!$A$7:$V$31,10,FALSE)</f>
        <v>0</v>
      </c>
      <c r="K28" s="256"/>
      <c r="L28" s="255">
        <f>VLOOKUP(A28,'PYExhE Data'!$A$7:$V$31,12,FALSE)</f>
        <v>0</v>
      </c>
      <c r="M28" s="255">
        <f>VLOOKUP(A28,'PYExhE Data'!$A$7:$V$31,13,FALSE)</f>
        <v>2609</v>
      </c>
      <c r="N28" s="256"/>
      <c r="O28" s="255">
        <f>VLOOKUP(A28,'PYExhE Data'!$A$7:$V$31,15,FALSE)</f>
        <v>-21637567</v>
      </c>
      <c r="P28" s="256"/>
      <c r="Q28" s="255">
        <f>VLOOKUP(A28,'PYExhE Data'!$A$7:$V$31,17,FALSE)</f>
        <v>108462</v>
      </c>
      <c r="R28" s="256"/>
      <c r="S28" s="256"/>
      <c r="T28" s="255">
        <f>VLOOKUP(A28,'PYExhE Data'!$A$7:$V$31,20,FALSE)</f>
        <v>0</v>
      </c>
      <c r="U28" s="255">
        <f>VLOOKUP(A28,'PYExhE Data'!$A$7:$V$31,21,FALSE)</f>
        <v>-42399</v>
      </c>
      <c r="V28" s="255">
        <f>VLOOKUP(A28,'PYExhE Data'!$A$7:$V$31,22,FALSE)</f>
        <v>631199</v>
      </c>
      <c r="W28" s="35"/>
      <c r="X28" s="250">
        <f>SUM(D28:W28)</f>
        <v>-20990792</v>
      </c>
    </row>
    <row r="29" spans="1:24" ht="13.8" thickBot="1" x14ac:dyDescent="0.3">
      <c r="A29" s="139">
        <v>3000</v>
      </c>
      <c r="B29" s="140"/>
      <c r="C29" s="146" t="s">
        <v>25</v>
      </c>
      <c r="E29" s="149">
        <f>SUM(E25:E28)</f>
        <v>0</v>
      </c>
      <c r="F29" s="261">
        <f t="shared" ref="F29:X29" si="4">SUM(F25:F28)</f>
        <v>1414107049</v>
      </c>
      <c r="G29" s="261">
        <f t="shared" si="4"/>
        <v>890164977</v>
      </c>
      <c r="H29" s="261">
        <f t="shared" si="4"/>
        <v>0</v>
      </c>
      <c r="I29" s="261">
        <f t="shared" si="4"/>
        <v>239927905</v>
      </c>
      <c r="J29" s="261">
        <f t="shared" si="4"/>
        <v>57531095</v>
      </c>
      <c r="K29" s="261">
        <f t="shared" si="4"/>
        <v>0</v>
      </c>
      <c r="L29" s="261">
        <f t="shared" si="4"/>
        <v>203705599</v>
      </c>
      <c r="M29" s="261">
        <f t="shared" si="4"/>
        <v>33058966</v>
      </c>
      <c r="N29" s="261">
        <f t="shared" si="4"/>
        <v>0</v>
      </c>
      <c r="O29" s="261">
        <f t="shared" si="4"/>
        <v>0</v>
      </c>
      <c r="P29" s="261">
        <f t="shared" si="4"/>
        <v>0</v>
      </c>
      <c r="Q29" s="261">
        <f t="shared" si="4"/>
        <v>65931708</v>
      </c>
      <c r="R29" s="261">
        <f t="shared" si="4"/>
        <v>0</v>
      </c>
      <c r="S29" s="261">
        <f t="shared" si="4"/>
        <v>0</v>
      </c>
      <c r="T29" s="261">
        <f t="shared" si="4"/>
        <v>37756632</v>
      </c>
      <c r="U29" s="261">
        <f t="shared" si="4"/>
        <v>99936751</v>
      </c>
      <c r="V29" s="261">
        <f>SUM(V25:V28)</f>
        <v>38723146</v>
      </c>
      <c r="W29" s="35"/>
      <c r="X29" s="261">
        <f t="shared" si="4"/>
        <v>3080843828</v>
      </c>
    </row>
    <row r="30" spans="1:24" ht="13.8" thickTop="1" x14ac:dyDescent="0.25">
      <c r="E30" s="140"/>
      <c r="F30" s="140"/>
      <c r="G30" s="140"/>
      <c r="H30" s="140"/>
      <c r="I30" s="140"/>
      <c r="J30" s="140"/>
      <c r="K30" s="140"/>
      <c r="L30" s="140"/>
      <c r="M30" s="140"/>
      <c r="N30" s="140"/>
      <c r="O30" s="140"/>
      <c r="P30" s="140"/>
      <c r="Q30" s="140"/>
      <c r="R30" s="140"/>
      <c r="S30" s="140"/>
      <c r="T30" s="140"/>
      <c r="U30" s="140"/>
      <c r="V30" s="140"/>
    </row>
    <row r="31" spans="1:24" x14ac:dyDescent="0.25">
      <c r="E31" s="172" t="str">
        <f>IF(E29=PriorYrExhD!E41,"OK","Problem")</f>
        <v>OK</v>
      </c>
      <c r="F31" s="172" t="str">
        <f>IF(F29=PriorYrExhD!F41,"OK","Problem")</f>
        <v>OK</v>
      </c>
      <c r="G31" s="172" t="str">
        <f>IF(G29=PriorYrExhD!G41,"OK","Problem")</f>
        <v>OK</v>
      </c>
      <c r="H31" s="172" t="str">
        <f>IF(H29=PriorYrExhD!H41,"OK","Problem")</f>
        <v>OK</v>
      </c>
      <c r="I31" s="172" t="str">
        <f>IF(I29=PriorYrExhD!I41,"OK","Problem")</f>
        <v>OK</v>
      </c>
      <c r="J31" s="172" t="str">
        <f>IF(J29=PriorYrExhD!J41,"OK","Problem")</f>
        <v>OK</v>
      </c>
      <c r="K31" s="172" t="str">
        <f>IF(K29=PriorYrExhD!K41,"OK","Problem")</f>
        <v>OK</v>
      </c>
      <c r="L31" s="172" t="str">
        <f>IF(L29=PriorYrExhD!L41,"OK","Problem")</f>
        <v>OK</v>
      </c>
      <c r="M31" s="172" t="str">
        <f>IF(M29=PriorYrExhD!M41,"OK","Problem")</f>
        <v>OK</v>
      </c>
      <c r="N31" s="172" t="str">
        <f>IF(N29=PriorYrExhD!N41,"OK","Problem")</f>
        <v>OK</v>
      </c>
      <c r="O31" s="172" t="str">
        <f>IF(O29=PriorYrExhD!O41,"OK","Problem")</f>
        <v>OK</v>
      </c>
      <c r="P31" s="172" t="str">
        <f>IF(P29=PriorYrExhD!P41,"OK","Problem")</f>
        <v>OK</v>
      </c>
      <c r="Q31" s="172" t="str">
        <f>IF(Q29=PriorYrExhD!Q41,"OK","Problem")</f>
        <v>OK</v>
      </c>
      <c r="R31" s="172" t="str">
        <f>IF(R29=PriorYrExhD!R41,"OK","Problem")</f>
        <v>OK</v>
      </c>
      <c r="S31" s="172" t="str">
        <f>IF(S29=PriorYrExhD!S41,"OK","Problem")</f>
        <v>OK</v>
      </c>
      <c r="T31" s="172" t="str">
        <f>IF(T29=PriorYrExhD!T41,"OK","Problem")</f>
        <v>OK</v>
      </c>
      <c r="U31" s="172" t="str">
        <f>IF(U29=PriorYrExhD!U41,"OK","Problem")</f>
        <v>OK</v>
      </c>
      <c r="V31" s="172" t="str">
        <f>IF(V29=PriorYrExhD!V41,"OK","Problem")</f>
        <v>OK</v>
      </c>
      <c r="W31" s="172" t="str">
        <f>IF(W29=PriorYrExhD!W41,"OK","Problem")</f>
        <v>OK</v>
      </c>
      <c r="X31" s="172" t="str">
        <f>IF(X29=PriorYrExhD!X41,"OK","Problem")</f>
        <v>OK</v>
      </c>
    </row>
    <row r="32" spans="1:24" x14ac:dyDescent="0.25">
      <c r="A32" t="s">
        <v>401</v>
      </c>
    </row>
    <row r="33" spans="1:3" x14ac:dyDescent="0.25">
      <c r="A33" s="35" t="s">
        <v>363</v>
      </c>
      <c r="B33" s="152"/>
      <c r="C33" s="152"/>
    </row>
    <row r="34" spans="1:3" x14ac:dyDescent="0.25">
      <c r="A34" s="297" t="s">
        <v>400</v>
      </c>
      <c r="B34" s="152"/>
      <c r="C34" s="152"/>
    </row>
    <row r="35" spans="1:3" x14ac:dyDescent="0.25">
      <c r="A35" s="35"/>
      <c r="B35" s="152"/>
      <c r="C35" s="152"/>
    </row>
    <row r="36" spans="1:3" x14ac:dyDescent="0.25">
      <c r="A36" s="35"/>
      <c r="B36" s="152"/>
      <c r="C36" s="152"/>
    </row>
    <row r="37" spans="1:3" x14ac:dyDescent="0.25">
      <c r="A37" s="35"/>
      <c r="B37" s="152"/>
      <c r="C37" s="106"/>
    </row>
    <row r="38" spans="1:3" x14ac:dyDescent="0.25">
      <c r="A38" s="35"/>
      <c r="B38" s="152"/>
      <c r="C38" s="152"/>
    </row>
  </sheetData>
  <sheetProtection algorithmName="SHA-512" hashValue="bE1iXW+plpoIWzLzoC1YnHvMjv/sQ3m92XLjk3VO0FO/YWzYwxmAV1VZiFP1S37EMMI2JzpO719nn6O4RrYdhA==" saltValue="7qpRz6mUvBnCynWGvDWWMw==" spinCount="100000" sheet="1" autoFilter="0"/>
  <pageMargins left="0.7" right="0.7" top="0.75" bottom="0.75" header="0.3" footer="0.3"/>
  <pageSetup orientation="landscape" r:id="rId1"/>
  <ignoredErrors>
    <ignoredError sqref="F7:F29 G7:G31 I7:I28 J7:J29 L7:L29 M7:M29 O7:O28 Q7:Q28 T7:T28 U7:U29 V7:V29"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70B64-49D7-47A4-B1FF-3F65D5B57353}">
  <sheetPr codeName="Sheet11"/>
  <dimension ref="A1:AH54"/>
  <sheetViews>
    <sheetView workbookViewId="0"/>
  </sheetViews>
  <sheetFormatPr defaultColWidth="8" defaultRowHeight="10.199999999999999" x14ac:dyDescent="0.2"/>
  <cols>
    <col min="1" max="1" width="4.44140625" style="105" customWidth="1"/>
    <col min="2" max="2" width="4.6640625" style="152" customWidth="1"/>
    <col min="3" max="3" width="35.88671875" style="152" bestFit="1" customWidth="1"/>
    <col min="4" max="4" width="2.33203125" style="152" customWidth="1"/>
    <col min="5" max="5" width="6.6640625" style="152" customWidth="1"/>
    <col min="6" max="6" width="12.88671875" style="152" bestFit="1" customWidth="1"/>
    <col min="7" max="7" width="10.44140625" style="152" customWidth="1"/>
    <col min="8" max="8" width="6" style="152" customWidth="1"/>
    <col min="9" max="9" width="11.6640625" style="152" bestFit="1" customWidth="1"/>
    <col min="10" max="10" width="10.5546875" style="152" customWidth="1"/>
    <col min="11" max="11" width="7.109375" style="152" customWidth="1"/>
    <col min="12" max="13" width="10.6640625" style="152" customWidth="1"/>
    <col min="14" max="14" width="6.88671875" style="152" customWidth="1"/>
    <col min="15" max="15" width="10.5546875" style="152" customWidth="1"/>
    <col min="16" max="16" width="7" style="152" customWidth="1"/>
    <col min="17" max="17" width="10.109375" style="152" customWidth="1"/>
    <col min="18" max="18" width="6.44140625" style="152" customWidth="1"/>
    <col min="19" max="19" width="6.109375" style="152" customWidth="1"/>
    <col min="20" max="20" width="9.5546875" style="152" customWidth="1"/>
    <col min="21" max="21" width="11" style="152" bestFit="1" customWidth="1"/>
    <col min="22" max="22" width="10.5546875" style="152" customWidth="1"/>
    <col min="23" max="23" width="1.5546875" style="152" customWidth="1"/>
    <col min="24" max="24" width="11.44140625" style="124" customWidth="1"/>
    <col min="25" max="25" width="12.109375" style="124" hidden="1" customWidth="1"/>
    <col min="26" max="26" width="12.6640625" style="124" hidden="1" customWidth="1"/>
    <col min="27" max="27" width="11.44140625" style="124" hidden="1" customWidth="1"/>
    <col min="28" max="28" width="1" style="124" hidden="1" customWidth="1"/>
    <col min="29" max="29" width="11" style="124" hidden="1" customWidth="1"/>
    <col min="30" max="30" width="16" style="124" hidden="1" customWidth="1"/>
    <col min="31" max="31" width="13.109375" style="106" hidden="1" customWidth="1"/>
    <col min="32" max="32" width="9" style="152" hidden="1" customWidth="1"/>
    <col min="33" max="33" width="10.5546875" style="152" hidden="1" customWidth="1"/>
    <col min="34" max="34" width="9.88671875" style="152" bestFit="1" customWidth="1"/>
    <col min="35" max="35" width="11" style="152" bestFit="1" customWidth="1"/>
    <col min="36" max="80" width="9.33203125" style="152" customWidth="1"/>
    <col min="81" max="16384" width="8" style="152"/>
  </cols>
  <sheetData>
    <row r="1" spans="1:34" x14ac:dyDescent="0.2">
      <c r="C1" s="153" t="s">
        <v>253</v>
      </c>
      <c r="D1" s="154"/>
    </row>
    <row r="2" spans="1:34" s="154" customFormat="1" ht="13.2" x14ac:dyDescent="0.25">
      <c r="A2" s="109"/>
      <c r="C2" s="155" t="s">
        <v>254</v>
      </c>
      <c r="E2" s="50" t="s">
        <v>255</v>
      </c>
      <c r="F2" s="50" t="s">
        <v>256</v>
      </c>
      <c r="G2" s="50" t="s">
        <v>257</v>
      </c>
      <c r="H2" s="50" t="s">
        <v>258</v>
      </c>
      <c r="I2" s="50" t="s">
        <v>259</v>
      </c>
      <c r="J2" s="50" t="s">
        <v>260</v>
      </c>
      <c r="K2" s="50" t="s">
        <v>261</v>
      </c>
      <c r="L2" s="50" t="s">
        <v>262</v>
      </c>
      <c r="M2" s="50" t="s">
        <v>263</v>
      </c>
      <c r="N2" s="50" t="s">
        <v>264</v>
      </c>
      <c r="O2" s="50" t="s">
        <v>265</v>
      </c>
      <c r="P2" s="50" t="s">
        <v>266</v>
      </c>
      <c r="Q2" s="50" t="s">
        <v>267</v>
      </c>
      <c r="R2" s="50" t="s">
        <v>268</v>
      </c>
      <c r="S2" s="50" t="s">
        <v>269</v>
      </c>
      <c r="T2" s="50" t="s">
        <v>270</v>
      </c>
      <c r="U2" s="50" t="s">
        <v>271</v>
      </c>
      <c r="V2" s="50" t="s">
        <v>272</v>
      </c>
      <c r="X2" s="125"/>
      <c r="Y2" s="200"/>
      <c r="Z2" s="200"/>
      <c r="AA2" s="200"/>
      <c r="AB2" s="125"/>
      <c r="AC2" s="125"/>
      <c r="AD2" s="125"/>
      <c r="AE2" s="108"/>
    </row>
    <row r="3" spans="1:34" s="154" customFormat="1" ht="14.4" x14ac:dyDescent="0.35">
      <c r="A3" s="109"/>
      <c r="C3" s="112">
        <v>44377</v>
      </c>
      <c r="D3" s="201"/>
      <c r="X3" s="125"/>
      <c r="Y3" s="95"/>
      <c r="Z3" s="95"/>
      <c r="AA3" s="95"/>
      <c r="AB3" s="125"/>
      <c r="AC3" s="125"/>
      <c r="AD3" s="125"/>
      <c r="AE3" s="202" t="s">
        <v>364</v>
      </c>
    </row>
    <row r="4" spans="1:34" s="154" customFormat="1" ht="13.2" x14ac:dyDescent="0.25">
      <c r="A4" s="109"/>
      <c r="C4" s="203"/>
      <c r="D4" s="201"/>
      <c r="M4" s="204"/>
      <c r="X4" s="125"/>
      <c r="Y4" s="95"/>
      <c r="Z4" s="95"/>
      <c r="AA4" s="95"/>
      <c r="AB4" s="125"/>
      <c r="AC4" s="125" t="s">
        <v>7</v>
      </c>
      <c r="AD4" s="125" t="s">
        <v>7</v>
      </c>
      <c r="AE4" s="205" t="s">
        <v>7</v>
      </c>
    </row>
    <row r="5" spans="1:34" s="154" customFormat="1" ht="12" x14ac:dyDescent="0.35">
      <c r="A5" s="109"/>
      <c r="C5" s="206" t="s">
        <v>365</v>
      </c>
      <c r="D5" s="201"/>
      <c r="M5" s="204"/>
      <c r="X5" s="125" t="s">
        <v>292</v>
      </c>
      <c r="Y5" s="207" t="s">
        <v>366</v>
      </c>
      <c r="Z5" s="207" t="s">
        <v>366</v>
      </c>
      <c r="AA5" s="207" t="s">
        <v>366</v>
      </c>
      <c r="AB5" s="125"/>
      <c r="AC5" s="205" t="s">
        <v>366</v>
      </c>
      <c r="AD5" s="205" t="s">
        <v>367</v>
      </c>
      <c r="AE5" s="108" t="s">
        <v>368</v>
      </c>
    </row>
    <row r="6" spans="1:34" s="306" customFormat="1" ht="13.2" x14ac:dyDescent="0.25">
      <c r="A6" s="305"/>
      <c r="C6" s="307" t="s">
        <v>30</v>
      </c>
      <c r="E6" s="308" t="s">
        <v>273</v>
      </c>
      <c r="F6" s="308" t="s">
        <v>274</v>
      </c>
      <c r="G6" s="308" t="s">
        <v>275</v>
      </c>
      <c r="H6" s="308" t="s">
        <v>276</v>
      </c>
      <c r="I6" s="308" t="s">
        <v>277</v>
      </c>
      <c r="J6" s="308" t="s">
        <v>278</v>
      </c>
      <c r="K6" s="308" t="s">
        <v>279</v>
      </c>
      <c r="L6" s="308" t="s">
        <v>280</v>
      </c>
      <c r="M6" s="308" t="s">
        <v>281</v>
      </c>
      <c r="N6" s="308" t="s">
        <v>282</v>
      </c>
      <c r="O6" s="308" t="s">
        <v>283</v>
      </c>
      <c r="P6" s="308" t="s">
        <v>284</v>
      </c>
      <c r="Q6" s="308" t="s">
        <v>285</v>
      </c>
      <c r="R6" s="308" t="s">
        <v>286</v>
      </c>
      <c r="S6" s="308" t="s">
        <v>287</v>
      </c>
      <c r="T6" s="308" t="s">
        <v>288</v>
      </c>
      <c r="U6" s="308" t="s">
        <v>289</v>
      </c>
      <c r="V6" s="308" t="s">
        <v>290</v>
      </c>
      <c r="W6" s="308"/>
      <c r="X6" s="309" t="s">
        <v>293</v>
      </c>
      <c r="Y6" s="308" t="s">
        <v>396</v>
      </c>
      <c r="Z6" s="308" t="s">
        <v>369</v>
      </c>
      <c r="AA6" s="308" t="s">
        <v>370</v>
      </c>
      <c r="AB6" s="309"/>
      <c r="AC6" s="308" t="s">
        <v>371</v>
      </c>
      <c r="AD6" s="308" t="s">
        <v>372</v>
      </c>
      <c r="AE6" s="310" t="s">
        <v>373</v>
      </c>
      <c r="AF6" s="306" t="s">
        <v>374</v>
      </c>
    </row>
    <row r="7" spans="1:34" s="154" customFormat="1" ht="13.2" x14ac:dyDescent="0.25">
      <c r="A7" s="109">
        <v>3240</v>
      </c>
      <c r="B7" s="209">
        <v>100</v>
      </c>
      <c r="C7" s="210" t="s">
        <v>0</v>
      </c>
      <c r="E7" s="224"/>
      <c r="F7" s="224">
        <v>76127042</v>
      </c>
      <c r="G7" s="224">
        <v>72198827</v>
      </c>
      <c r="H7" s="224"/>
      <c r="I7" s="224">
        <v>21398398</v>
      </c>
      <c r="J7" s="224">
        <v>5639173</v>
      </c>
      <c r="K7" s="224"/>
      <c r="L7" s="224">
        <v>6722055</v>
      </c>
      <c r="M7" s="224">
        <v>30468965</v>
      </c>
      <c r="N7" s="224"/>
      <c r="O7" s="224">
        <v>0</v>
      </c>
      <c r="P7" s="224"/>
      <c r="Q7" s="224">
        <v>19964031</v>
      </c>
      <c r="R7" s="224"/>
      <c r="S7" s="224"/>
      <c r="T7" s="224">
        <v>8788232</v>
      </c>
      <c r="U7" s="224">
        <v>15113861</v>
      </c>
      <c r="V7" s="224">
        <v>16738494</v>
      </c>
      <c r="W7" s="225"/>
      <c r="X7" s="226">
        <f>SUM(E7:V7)</f>
        <v>273159078</v>
      </c>
      <c r="Y7" s="225"/>
      <c r="Z7" s="225"/>
      <c r="AA7" s="225"/>
      <c r="AB7" s="225"/>
      <c r="AC7" s="227">
        <v>0</v>
      </c>
      <c r="AD7" s="227">
        <v>239597503</v>
      </c>
      <c r="AE7" s="226">
        <v>239598</v>
      </c>
      <c r="AF7" s="152">
        <v>0</v>
      </c>
    </row>
    <row r="8" spans="1:34" ht="13.2" x14ac:dyDescent="0.25">
      <c r="A8" s="105">
        <v>3250</v>
      </c>
      <c r="B8" s="209">
        <v>105</v>
      </c>
      <c r="C8" s="210" t="s">
        <v>1</v>
      </c>
      <c r="D8" s="116"/>
      <c r="E8" s="224"/>
      <c r="F8" s="224">
        <v>1253780582</v>
      </c>
      <c r="G8" s="224">
        <v>37369739</v>
      </c>
      <c r="H8" s="224"/>
      <c r="I8" s="224">
        <v>10552383</v>
      </c>
      <c r="J8" s="224">
        <v>1483185</v>
      </c>
      <c r="K8" s="224"/>
      <c r="L8" s="224">
        <v>42642423</v>
      </c>
      <c r="M8" s="224">
        <v>214442</v>
      </c>
      <c r="N8" s="224"/>
      <c r="O8" s="224">
        <v>0</v>
      </c>
      <c r="P8" s="224"/>
      <c r="Q8" s="224">
        <v>19415426</v>
      </c>
      <c r="R8" s="224"/>
      <c r="S8" s="224"/>
      <c r="T8" s="224">
        <v>6386062</v>
      </c>
      <c r="U8" s="224">
        <v>822542</v>
      </c>
      <c r="V8" s="224">
        <v>0</v>
      </c>
      <c r="W8" s="226"/>
      <c r="X8" s="226">
        <f t="shared" ref="X8:X17" si="0">SUM(E8:V8)</f>
        <v>1372666784</v>
      </c>
      <c r="Y8" s="226"/>
      <c r="Z8" s="226"/>
      <c r="AA8" s="226"/>
      <c r="AB8" s="226"/>
      <c r="AC8" s="227">
        <v>0</v>
      </c>
      <c r="AD8" s="227">
        <v>974286357</v>
      </c>
      <c r="AE8" s="226">
        <v>974286</v>
      </c>
      <c r="AH8" s="154"/>
    </row>
    <row r="9" spans="1:34" ht="13.2" x14ac:dyDescent="0.25">
      <c r="A9" s="105">
        <v>3270</v>
      </c>
      <c r="B9" s="209">
        <v>110</v>
      </c>
      <c r="C9" s="210" t="s">
        <v>27</v>
      </c>
      <c r="D9" s="116"/>
      <c r="E9" s="224"/>
      <c r="F9" s="224">
        <v>78510606</v>
      </c>
      <c r="G9" s="224">
        <v>31462985</v>
      </c>
      <c r="H9" s="224"/>
      <c r="I9" s="224">
        <v>19747950</v>
      </c>
      <c r="J9" s="224">
        <v>1185750</v>
      </c>
      <c r="K9" s="224"/>
      <c r="L9" s="224">
        <v>7261550</v>
      </c>
      <c r="M9" s="224">
        <v>1178235</v>
      </c>
      <c r="N9" s="224"/>
      <c r="O9" s="224">
        <v>0</v>
      </c>
      <c r="P9" s="224"/>
      <c r="Q9" s="224">
        <v>184316</v>
      </c>
      <c r="R9" s="224"/>
      <c r="S9" s="224"/>
      <c r="T9" s="224">
        <v>5276076</v>
      </c>
      <c r="U9" s="224">
        <v>2378899</v>
      </c>
      <c r="V9" s="224">
        <v>5623870</v>
      </c>
      <c r="W9" s="226"/>
      <c r="X9" s="226">
        <f t="shared" si="0"/>
        <v>152810237</v>
      </c>
      <c r="Y9" s="226"/>
      <c r="Z9" s="226">
        <v>-6407641</v>
      </c>
      <c r="AA9" s="226"/>
      <c r="AB9" s="226"/>
      <c r="AC9" s="227">
        <v>-6407641</v>
      </c>
      <c r="AD9" s="227">
        <v>111334068</v>
      </c>
      <c r="AE9" s="226">
        <v>111334</v>
      </c>
      <c r="AH9" s="154"/>
    </row>
    <row r="10" spans="1:34" ht="13.2" x14ac:dyDescent="0.25">
      <c r="A10" s="105">
        <v>3285</v>
      </c>
      <c r="B10" s="216">
        <v>112</v>
      </c>
      <c r="C10" s="217" t="s">
        <v>352</v>
      </c>
      <c r="D10" s="213"/>
      <c r="E10" s="228"/>
      <c r="F10" s="228">
        <v>3042534</v>
      </c>
      <c r="G10" s="228">
        <v>0</v>
      </c>
      <c r="H10" s="228"/>
      <c r="I10" s="228">
        <v>70879731</v>
      </c>
      <c r="J10" s="228">
        <v>887907</v>
      </c>
      <c r="K10" s="228"/>
      <c r="L10" s="228">
        <v>0</v>
      </c>
      <c r="M10" s="228">
        <v>410375</v>
      </c>
      <c r="N10" s="228"/>
      <c r="O10" s="228">
        <v>0</v>
      </c>
      <c r="P10" s="228"/>
      <c r="Q10" s="228">
        <v>0</v>
      </c>
      <c r="R10" s="228"/>
      <c r="S10" s="228"/>
      <c r="T10" s="228">
        <v>2083</v>
      </c>
      <c r="U10" s="228">
        <v>0</v>
      </c>
      <c r="V10" s="228">
        <v>0</v>
      </c>
      <c r="W10" s="229"/>
      <c r="X10" s="229">
        <f t="shared" si="0"/>
        <v>75222630</v>
      </c>
      <c r="Y10" s="229"/>
      <c r="Z10" s="229">
        <v>6407641</v>
      </c>
      <c r="AA10" s="229"/>
      <c r="AB10" s="229"/>
      <c r="AC10" s="230">
        <v>6407641</v>
      </c>
      <c r="AD10" s="230">
        <v>12264879</v>
      </c>
      <c r="AE10" s="229">
        <v>12265</v>
      </c>
      <c r="AF10" s="214" t="s">
        <v>375</v>
      </c>
      <c r="AH10" s="154"/>
    </row>
    <row r="11" spans="1:34" ht="13.2" x14ac:dyDescent="0.25">
      <c r="A11" s="105">
        <v>3310</v>
      </c>
      <c r="B11" s="209">
        <v>115</v>
      </c>
      <c r="C11" s="210" t="s">
        <v>28</v>
      </c>
      <c r="D11" s="117"/>
      <c r="E11" s="224"/>
      <c r="F11" s="224">
        <v>0</v>
      </c>
      <c r="G11" s="224">
        <v>0</v>
      </c>
      <c r="H11" s="224"/>
      <c r="I11" s="224">
        <v>0</v>
      </c>
      <c r="J11" s="224">
        <v>0</v>
      </c>
      <c r="K11" s="224"/>
      <c r="L11" s="224">
        <v>0</v>
      </c>
      <c r="M11" s="224">
        <v>0</v>
      </c>
      <c r="N11" s="224"/>
      <c r="O11" s="224">
        <v>0</v>
      </c>
      <c r="P11" s="224"/>
      <c r="Q11" s="224">
        <v>0</v>
      </c>
      <c r="R11" s="224"/>
      <c r="S11" s="224"/>
      <c r="T11" s="224">
        <v>0</v>
      </c>
      <c r="U11" s="224">
        <v>0</v>
      </c>
      <c r="V11" s="224">
        <v>0</v>
      </c>
      <c r="W11" s="226"/>
      <c r="X11" s="226">
        <f t="shared" si="0"/>
        <v>0</v>
      </c>
      <c r="Y11" s="226"/>
      <c r="Z11" s="226"/>
      <c r="AA11" s="226"/>
      <c r="AB11" s="226"/>
      <c r="AC11" s="227">
        <v>0</v>
      </c>
      <c r="AD11" s="227">
        <v>0</v>
      </c>
      <c r="AE11" s="226">
        <v>0</v>
      </c>
      <c r="AH11" s="154"/>
    </row>
    <row r="12" spans="1:34" ht="13.2" x14ac:dyDescent="0.25">
      <c r="A12" s="105">
        <v>3320</v>
      </c>
      <c r="B12" s="209">
        <v>120</v>
      </c>
      <c r="C12" s="210" t="s">
        <v>65</v>
      </c>
      <c r="D12" s="118"/>
      <c r="E12" s="224"/>
      <c r="F12" s="224">
        <v>76189</v>
      </c>
      <c r="G12" s="224">
        <v>0</v>
      </c>
      <c r="H12" s="224"/>
      <c r="I12" s="224">
        <v>226367</v>
      </c>
      <c r="J12" s="224">
        <v>74462</v>
      </c>
      <c r="K12" s="224"/>
      <c r="L12" s="224">
        <v>19709</v>
      </c>
      <c r="M12" s="224">
        <v>0</v>
      </c>
      <c r="N12" s="224"/>
      <c r="O12" s="224">
        <v>0</v>
      </c>
      <c r="P12" s="224"/>
      <c r="Q12" s="224">
        <v>462655</v>
      </c>
      <c r="R12" s="224"/>
      <c r="S12" s="224"/>
      <c r="T12" s="224">
        <v>0</v>
      </c>
      <c r="U12" s="224">
        <v>12162</v>
      </c>
      <c r="V12" s="224">
        <v>0</v>
      </c>
      <c r="W12" s="226"/>
      <c r="X12" s="226">
        <f t="shared" si="0"/>
        <v>871544</v>
      </c>
      <c r="Y12" s="226"/>
      <c r="Z12" s="226"/>
      <c r="AA12" s="226"/>
      <c r="AB12" s="226"/>
      <c r="AC12" s="227">
        <v>0</v>
      </c>
      <c r="AD12" s="227">
        <v>1718017</v>
      </c>
      <c r="AE12" s="226">
        <v>1718</v>
      </c>
      <c r="AF12" s="296"/>
      <c r="AG12" s="296"/>
      <c r="AH12" s="154"/>
    </row>
    <row r="13" spans="1:34" ht="13.2" x14ac:dyDescent="0.25">
      <c r="A13" s="105">
        <v>3340</v>
      </c>
      <c r="B13" s="209">
        <v>125</v>
      </c>
      <c r="C13" s="210" t="s">
        <v>29</v>
      </c>
      <c r="D13" s="119"/>
      <c r="E13" s="224"/>
      <c r="F13" s="224">
        <v>0</v>
      </c>
      <c r="G13" s="224">
        <v>0</v>
      </c>
      <c r="H13" s="224"/>
      <c r="I13" s="224">
        <v>0</v>
      </c>
      <c r="J13" s="224">
        <v>0</v>
      </c>
      <c r="K13" s="224"/>
      <c r="L13" s="224">
        <v>0</v>
      </c>
      <c r="M13" s="224">
        <v>0</v>
      </c>
      <c r="N13" s="224"/>
      <c r="O13" s="224">
        <v>0</v>
      </c>
      <c r="P13" s="224"/>
      <c r="Q13" s="224">
        <v>0</v>
      </c>
      <c r="R13" s="224"/>
      <c r="S13" s="224"/>
      <c r="T13" s="224">
        <v>0</v>
      </c>
      <c r="U13" s="224">
        <v>16030</v>
      </c>
      <c r="V13" s="224">
        <v>0</v>
      </c>
      <c r="W13" s="226"/>
      <c r="X13" s="226">
        <f t="shared" si="0"/>
        <v>16030</v>
      </c>
      <c r="Y13" s="226"/>
      <c r="Z13" s="226"/>
      <c r="AA13" s="226"/>
      <c r="AB13" s="226"/>
      <c r="AC13" s="227">
        <v>0</v>
      </c>
      <c r="AD13" s="227">
        <v>12881</v>
      </c>
      <c r="AE13" s="226">
        <v>13</v>
      </c>
      <c r="AH13" s="154"/>
    </row>
    <row r="14" spans="1:34" ht="13.2" x14ac:dyDescent="0.25">
      <c r="A14" s="105">
        <v>3345</v>
      </c>
      <c r="B14" s="209">
        <v>128</v>
      </c>
      <c r="C14" s="210" t="s">
        <v>344</v>
      </c>
      <c r="D14" s="119"/>
      <c r="E14" s="224"/>
      <c r="F14" s="224">
        <v>0</v>
      </c>
      <c r="G14" s="224">
        <v>0</v>
      </c>
      <c r="H14" s="224"/>
      <c r="I14" s="224">
        <v>0</v>
      </c>
      <c r="J14" s="224">
        <v>0</v>
      </c>
      <c r="K14" s="224"/>
      <c r="L14" s="224">
        <v>0</v>
      </c>
      <c r="M14" s="224">
        <v>0</v>
      </c>
      <c r="N14" s="224"/>
      <c r="O14" s="224">
        <v>0</v>
      </c>
      <c r="P14" s="224"/>
      <c r="Q14" s="224">
        <v>30174072</v>
      </c>
      <c r="R14" s="224"/>
      <c r="S14" s="224"/>
      <c r="T14" s="224">
        <v>0</v>
      </c>
      <c r="U14" s="224">
        <v>0</v>
      </c>
      <c r="V14" s="224">
        <v>0</v>
      </c>
      <c r="W14" s="226"/>
      <c r="X14" s="226">
        <f t="shared" si="0"/>
        <v>30174072</v>
      </c>
      <c r="Y14" s="226"/>
      <c r="Z14" s="226"/>
      <c r="AA14" s="226"/>
      <c r="AB14" s="226"/>
      <c r="AC14" s="227">
        <v>0</v>
      </c>
      <c r="AD14" s="227">
        <v>31578965</v>
      </c>
      <c r="AE14" s="226">
        <v>31579</v>
      </c>
      <c r="AH14" s="154"/>
    </row>
    <row r="15" spans="1:34" ht="13.2" x14ac:dyDescent="0.25">
      <c r="A15" s="105">
        <v>3350</v>
      </c>
      <c r="B15" s="209">
        <v>130</v>
      </c>
      <c r="C15" s="210" t="s">
        <v>215</v>
      </c>
      <c r="D15" s="119"/>
      <c r="E15" s="224"/>
      <c r="F15" s="224">
        <v>0</v>
      </c>
      <c r="G15" s="224">
        <v>726565308</v>
      </c>
      <c r="H15" s="224"/>
      <c r="I15" s="224">
        <v>173482162</v>
      </c>
      <c r="J15" s="224">
        <v>48286942</v>
      </c>
      <c r="K15" s="224"/>
      <c r="L15" s="224">
        <v>147199111</v>
      </c>
      <c r="M15" s="224">
        <v>18086034</v>
      </c>
      <c r="N15" s="224"/>
      <c r="O15" s="224">
        <v>0</v>
      </c>
      <c r="P15" s="224"/>
      <c r="Q15" s="224">
        <v>29967908</v>
      </c>
      <c r="R15" s="224"/>
      <c r="S15" s="224"/>
      <c r="T15" s="224">
        <v>17467315</v>
      </c>
      <c r="U15" s="224">
        <v>81723885</v>
      </c>
      <c r="V15" s="224">
        <v>18319188</v>
      </c>
      <c r="W15" s="226"/>
      <c r="X15" s="226">
        <f t="shared" si="0"/>
        <v>1261097853</v>
      </c>
      <c r="Y15" s="226"/>
      <c r="Z15" s="226"/>
      <c r="AA15" s="226"/>
      <c r="AB15" s="226"/>
      <c r="AC15" s="227">
        <v>0</v>
      </c>
      <c r="AD15" s="227">
        <v>900072369</v>
      </c>
      <c r="AE15" s="226">
        <v>900072</v>
      </c>
      <c r="AH15" s="154"/>
    </row>
    <row r="16" spans="1:34" ht="13.2" x14ac:dyDescent="0.25">
      <c r="A16" s="105">
        <v>3370</v>
      </c>
      <c r="B16" s="209">
        <v>140</v>
      </c>
      <c r="C16" s="210" t="s">
        <v>66</v>
      </c>
      <c r="D16" s="116"/>
      <c r="E16" s="224"/>
      <c r="F16" s="224">
        <v>0</v>
      </c>
      <c r="G16" s="224">
        <v>32018845</v>
      </c>
      <c r="H16" s="224"/>
      <c r="I16" s="224">
        <v>0</v>
      </c>
      <c r="J16" s="224">
        <v>1891926</v>
      </c>
      <c r="K16" s="224"/>
      <c r="L16" s="224">
        <v>3014381</v>
      </c>
      <c r="M16" s="224">
        <v>13929638</v>
      </c>
      <c r="N16" s="224"/>
      <c r="O16" s="224">
        <v>0</v>
      </c>
      <c r="P16" s="224"/>
      <c r="Q16" s="224">
        <v>1283539</v>
      </c>
      <c r="R16" s="224"/>
      <c r="S16" s="224"/>
      <c r="T16" s="224">
        <v>174868</v>
      </c>
      <c r="U16" s="224">
        <v>47442</v>
      </c>
      <c r="V16" s="224">
        <v>101945</v>
      </c>
      <c r="W16" s="226"/>
      <c r="X16" s="226">
        <f t="shared" si="0"/>
        <v>52462584</v>
      </c>
      <c r="Y16" s="226"/>
      <c r="Z16" s="226"/>
      <c r="AA16" s="226"/>
      <c r="AB16" s="226"/>
      <c r="AC16" s="227">
        <v>0</v>
      </c>
      <c r="AD16" s="227">
        <v>101951135</v>
      </c>
      <c r="AE16" s="226">
        <v>101951</v>
      </c>
      <c r="AH16" s="154"/>
    </row>
    <row r="17" spans="1:34" ht="13.2" x14ac:dyDescent="0.25">
      <c r="A17" s="105">
        <v>3380</v>
      </c>
      <c r="B17" s="209">
        <v>145</v>
      </c>
      <c r="C17" s="210" t="s">
        <v>67</v>
      </c>
      <c r="D17" s="116"/>
      <c r="E17" s="224"/>
      <c r="F17" s="224">
        <v>6415541</v>
      </c>
      <c r="G17" s="224">
        <v>5928078</v>
      </c>
      <c r="H17" s="224"/>
      <c r="I17" s="224">
        <v>46734</v>
      </c>
      <c r="J17" s="224">
        <v>1939182</v>
      </c>
      <c r="K17" s="224"/>
      <c r="L17" s="224">
        <v>4700527</v>
      </c>
      <c r="M17" s="224">
        <v>89818991</v>
      </c>
      <c r="N17" s="224"/>
      <c r="O17" s="224">
        <v>0</v>
      </c>
      <c r="P17" s="224"/>
      <c r="Q17" s="224">
        <v>0</v>
      </c>
      <c r="R17" s="224"/>
      <c r="S17" s="224"/>
      <c r="T17" s="224">
        <v>0</v>
      </c>
      <c r="U17" s="224">
        <v>0</v>
      </c>
      <c r="V17" s="224">
        <v>0</v>
      </c>
      <c r="W17" s="231"/>
      <c r="X17" s="226">
        <f t="shared" si="0"/>
        <v>108849053</v>
      </c>
      <c r="Y17" s="231"/>
      <c r="Z17" s="231"/>
      <c r="AA17" s="231"/>
      <c r="AB17" s="231"/>
      <c r="AC17" s="232">
        <v>0</v>
      </c>
      <c r="AD17" s="232">
        <v>122923476</v>
      </c>
      <c r="AE17" s="231">
        <v>122923</v>
      </c>
      <c r="AH17" s="154"/>
    </row>
    <row r="18" spans="1:34" ht="13.2" x14ac:dyDescent="0.25">
      <c r="C18" s="208" t="s">
        <v>6</v>
      </c>
      <c r="D18" s="116"/>
      <c r="E18" s="233"/>
      <c r="F18" s="233">
        <v>1417952494</v>
      </c>
      <c r="G18" s="233">
        <v>905543782</v>
      </c>
      <c r="H18" s="233"/>
      <c r="I18" s="233">
        <v>296333725</v>
      </c>
      <c r="J18" s="233">
        <v>61388527</v>
      </c>
      <c r="K18" s="233"/>
      <c r="L18" s="233">
        <v>211559756</v>
      </c>
      <c r="M18" s="233">
        <v>154106680</v>
      </c>
      <c r="N18" s="233"/>
      <c r="O18" s="233">
        <v>0</v>
      </c>
      <c r="P18" s="233"/>
      <c r="Q18" s="233">
        <v>101451947</v>
      </c>
      <c r="R18" s="233"/>
      <c r="S18" s="233"/>
      <c r="T18" s="233">
        <v>38094636</v>
      </c>
      <c r="U18" s="233">
        <v>100114821</v>
      </c>
      <c r="V18" s="233">
        <v>40783497</v>
      </c>
      <c r="W18" s="233"/>
      <c r="X18" s="233">
        <f>SUM(X7:X17)</f>
        <v>3327329865</v>
      </c>
      <c r="Y18" s="233">
        <v>0</v>
      </c>
      <c r="Z18" s="233">
        <v>0</v>
      </c>
      <c r="AA18" s="233">
        <v>0</v>
      </c>
      <c r="AB18" s="234"/>
      <c r="AC18" s="235">
        <v>0</v>
      </c>
      <c r="AD18" s="235">
        <v>2495739650</v>
      </c>
      <c r="AE18" s="234">
        <v>2495739</v>
      </c>
      <c r="AH18" s="154"/>
    </row>
    <row r="19" spans="1:34" ht="6" customHeight="1" x14ac:dyDescent="0.2">
      <c r="C19" s="116"/>
      <c r="D19" s="11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7"/>
      <c r="AD19" s="227"/>
      <c r="AE19" s="226"/>
      <c r="AH19" s="154"/>
    </row>
    <row r="20" spans="1:34" ht="13.2" x14ac:dyDescent="0.25">
      <c r="C20" s="208" t="s">
        <v>37</v>
      </c>
      <c r="D20" s="11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7"/>
      <c r="AE20" s="236"/>
      <c r="AH20" s="154"/>
    </row>
    <row r="21" spans="1:34" ht="13.2" x14ac:dyDescent="0.25">
      <c r="A21" s="105">
        <v>3430</v>
      </c>
      <c r="B21" s="158">
        <v>200</v>
      </c>
      <c r="C21" s="210" t="s">
        <v>38</v>
      </c>
      <c r="D21" s="116"/>
      <c r="E21" s="224"/>
      <c r="F21" s="224">
        <v>1570952</v>
      </c>
      <c r="G21" s="224">
        <v>490787</v>
      </c>
      <c r="H21" s="224"/>
      <c r="I21" s="224">
        <v>624449</v>
      </c>
      <c r="J21" s="224">
        <v>729334</v>
      </c>
      <c r="K21" s="224"/>
      <c r="L21" s="224">
        <v>2425816</v>
      </c>
      <c r="M21" s="224">
        <v>2646748</v>
      </c>
      <c r="N21" s="224"/>
      <c r="O21" s="224">
        <v>0</v>
      </c>
      <c r="P21" s="224"/>
      <c r="Q21" s="224">
        <v>526915</v>
      </c>
      <c r="R21" s="224"/>
      <c r="S21" s="224"/>
      <c r="T21" s="224">
        <v>209212</v>
      </c>
      <c r="U21" s="224">
        <v>130604</v>
      </c>
      <c r="V21" s="224">
        <v>751968</v>
      </c>
      <c r="W21" s="226"/>
      <c r="X21" s="226">
        <f>SUM(E21:V21)</f>
        <v>10106785</v>
      </c>
      <c r="Y21" s="226">
        <v>896912.47</v>
      </c>
      <c r="Z21" s="226"/>
      <c r="AA21" s="226"/>
      <c r="AB21" s="226"/>
      <c r="AC21" s="227">
        <v>896912</v>
      </c>
      <c r="AD21" s="227">
        <v>17334253</v>
      </c>
      <c r="AE21" s="226">
        <v>17334</v>
      </c>
      <c r="AF21" s="215"/>
      <c r="AH21" s="154"/>
    </row>
    <row r="22" spans="1:34" ht="15" x14ac:dyDescent="0.25">
      <c r="A22" s="105">
        <v>3432</v>
      </c>
      <c r="B22" s="216">
        <v>202</v>
      </c>
      <c r="C22" s="217" t="s">
        <v>291</v>
      </c>
      <c r="D22" s="121"/>
      <c r="E22" s="237"/>
      <c r="F22" s="237">
        <v>0</v>
      </c>
      <c r="G22" s="237">
        <v>3674050</v>
      </c>
      <c r="H22" s="237"/>
      <c r="I22" s="237">
        <v>0</v>
      </c>
      <c r="J22" s="237">
        <v>0</v>
      </c>
      <c r="K22" s="237"/>
      <c r="L22" s="237">
        <v>47044</v>
      </c>
      <c r="M22" s="237">
        <v>911941</v>
      </c>
      <c r="N22" s="237"/>
      <c r="O22" s="237">
        <v>0</v>
      </c>
      <c r="P22" s="237"/>
      <c r="Q22" s="237">
        <v>0</v>
      </c>
      <c r="R22" s="237"/>
      <c r="S22" s="237"/>
      <c r="T22" s="237">
        <v>3196</v>
      </c>
      <c r="U22" s="237">
        <v>47466</v>
      </c>
      <c r="V22" s="237">
        <v>1308383</v>
      </c>
      <c r="W22" s="238"/>
      <c r="X22" s="238">
        <f t="shared" ref="X22:X30" si="1">SUM(E22:V22)</f>
        <v>5992080</v>
      </c>
      <c r="Y22" s="238">
        <v>-896912.47</v>
      </c>
      <c r="Z22" s="238"/>
      <c r="AA22" s="238"/>
      <c r="AB22" s="238"/>
      <c r="AC22" s="239">
        <v>-896912</v>
      </c>
      <c r="AD22" s="239">
        <v>7063262</v>
      </c>
      <c r="AE22" s="238">
        <v>7063</v>
      </c>
      <c r="AF22" s="214" t="s">
        <v>375</v>
      </c>
      <c r="AH22" s="154"/>
    </row>
    <row r="23" spans="1:34" ht="13.2" x14ac:dyDescent="0.2">
      <c r="A23" s="105">
        <v>3434</v>
      </c>
      <c r="B23" s="216">
        <v>203</v>
      </c>
      <c r="C23" s="218" t="s">
        <v>314</v>
      </c>
      <c r="D23" s="121"/>
      <c r="E23" s="237"/>
      <c r="F23" s="237">
        <v>0</v>
      </c>
      <c r="G23" s="237">
        <v>0</v>
      </c>
      <c r="H23" s="237"/>
      <c r="I23" s="237">
        <v>0</v>
      </c>
      <c r="J23" s="237">
        <v>0</v>
      </c>
      <c r="K23" s="237"/>
      <c r="L23" s="237">
        <v>0</v>
      </c>
      <c r="M23" s="237">
        <v>0</v>
      </c>
      <c r="N23" s="237"/>
      <c r="O23" s="237">
        <v>0</v>
      </c>
      <c r="P23" s="237"/>
      <c r="Q23" s="237">
        <v>0</v>
      </c>
      <c r="R23" s="237"/>
      <c r="S23" s="237"/>
      <c r="T23" s="237">
        <v>0</v>
      </c>
      <c r="U23" s="237">
        <v>0</v>
      </c>
      <c r="V23" s="237">
        <v>0</v>
      </c>
      <c r="W23" s="238"/>
      <c r="X23" s="238">
        <f t="shared" si="1"/>
        <v>0</v>
      </c>
      <c r="Y23" s="238"/>
      <c r="Z23" s="238"/>
      <c r="AA23" s="238"/>
      <c r="AB23" s="238"/>
      <c r="AC23" s="239">
        <v>0</v>
      </c>
      <c r="AD23" s="239">
        <v>0</v>
      </c>
      <c r="AE23" s="238">
        <v>0</v>
      </c>
      <c r="AF23" s="214" t="s">
        <v>375</v>
      </c>
      <c r="AH23" s="154"/>
    </row>
    <row r="24" spans="1:34" ht="13.2" x14ac:dyDescent="0.25">
      <c r="A24" s="105">
        <v>3500</v>
      </c>
      <c r="B24" s="158">
        <v>205</v>
      </c>
      <c r="C24" s="210" t="s">
        <v>214</v>
      </c>
      <c r="D24" s="122"/>
      <c r="E24" s="224"/>
      <c r="F24" s="224">
        <v>0</v>
      </c>
      <c r="G24" s="224">
        <v>252524</v>
      </c>
      <c r="H24" s="224"/>
      <c r="I24" s="224">
        <v>0</v>
      </c>
      <c r="J24" s="224">
        <v>207942</v>
      </c>
      <c r="K24" s="224"/>
      <c r="L24" s="224">
        <v>0</v>
      </c>
      <c r="M24" s="224">
        <v>0</v>
      </c>
      <c r="N24" s="224"/>
      <c r="O24" s="224">
        <v>0</v>
      </c>
      <c r="P24" s="224"/>
      <c r="Q24" s="224">
        <v>0</v>
      </c>
      <c r="R24" s="224"/>
      <c r="S24" s="224"/>
      <c r="T24" s="224">
        <v>0</v>
      </c>
      <c r="U24" s="224">
        <v>0</v>
      </c>
      <c r="V24" s="224">
        <v>0</v>
      </c>
      <c r="W24" s="226"/>
      <c r="X24" s="226">
        <f t="shared" si="1"/>
        <v>460466</v>
      </c>
      <c r="Y24" s="226"/>
      <c r="Z24" s="226"/>
      <c r="AA24" s="226"/>
      <c r="AB24" s="226"/>
      <c r="AC24" s="227">
        <v>0</v>
      </c>
      <c r="AD24" s="227">
        <v>244598</v>
      </c>
      <c r="AE24" s="226">
        <v>245</v>
      </c>
      <c r="AH24" s="154"/>
    </row>
    <row r="25" spans="1:34" ht="13.2" x14ac:dyDescent="0.25">
      <c r="A25" s="105">
        <v>3550</v>
      </c>
      <c r="B25" s="158">
        <v>210</v>
      </c>
      <c r="C25" s="210" t="s">
        <v>10</v>
      </c>
      <c r="D25" s="116"/>
      <c r="E25" s="224"/>
      <c r="F25" s="224">
        <v>0</v>
      </c>
      <c r="G25" s="224">
        <v>0</v>
      </c>
      <c r="H25" s="224"/>
      <c r="I25" s="224">
        <v>0</v>
      </c>
      <c r="J25" s="224">
        <v>0</v>
      </c>
      <c r="K25" s="224"/>
      <c r="L25" s="224">
        <v>0</v>
      </c>
      <c r="M25" s="224">
        <v>0</v>
      </c>
      <c r="N25" s="224"/>
      <c r="O25" s="224">
        <v>0</v>
      </c>
      <c r="P25" s="224"/>
      <c r="Q25" s="224">
        <v>0</v>
      </c>
      <c r="R25" s="224"/>
      <c r="S25" s="224"/>
      <c r="T25" s="224">
        <v>0</v>
      </c>
      <c r="U25" s="224">
        <v>0</v>
      </c>
      <c r="V25" s="224">
        <v>0</v>
      </c>
      <c r="W25" s="236"/>
      <c r="X25" s="226">
        <f t="shared" si="1"/>
        <v>0</v>
      </c>
      <c r="Y25" s="236"/>
      <c r="Z25" s="236"/>
      <c r="AA25" s="236"/>
      <c r="AB25" s="236"/>
      <c r="AC25" s="227">
        <v>0</v>
      </c>
      <c r="AD25" s="227">
        <v>0</v>
      </c>
      <c r="AE25" s="226">
        <v>0</v>
      </c>
      <c r="AH25" s="154"/>
    </row>
    <row r="26" spans="1:34" ht="13.2" x14ac:dyDescent="0.25">
      <c r="A26" s="105">
        <v>3530</v>
      </c>
      <c r="B26" s="158">
        <v>215</v>
      </c>
      <c r="C26" s="210" t="s">
        <v>11</v>
      </c>
      <c r="D26" s="116"/>
      <c r="E26" s="224"/>
      <c r="F26" s="224">
        <v>0</v>
      </c>
      <c r="G26" s="224">
        <v>0</v>
      </c>
      <c r="H26" s="224"/>
      <c r="I26" s="224">
        <v>0</v>
      </c>
      <c r="J26" s="224">
        <v>0</v>
      </c>
      <c r="K26" s="224"/>
      <c r="L26" s="224">
        <v>0</v>
      </c>
      <c r="M26" s="224">
        <v>0</v>
      </c>
      <c r="N26" s="224"/>
      <c r="O26" s="224">
        <v>0</v>
      </c>
      <c r="P26" s="224"/>
      <c r="Q26" s="224">
        <v>0</v>
      </c>
      <c r="R26" s="224"/>
      <c r="S26" s="224"/>
      <c r="T26" s="224">
        <v>0</v>
      </c>
      <c r="U26" s="224">
        <v>0</v>
      </c>
      <c r="V26" s="224">
        <v>0</v>
      </c>
      <c r="W26" s="236"/>
      <c r="X26" s="226">
        <f t="shared" si="1"/>
        <v>0</v>
      </c>
      <c r="Y26" s="236"/>
      <c r="Z26" s="236"/>
      <c r="AA26" s="236"/>
      <c r="AB26" s="236"/>
      <c r="AC26" s="227">
        <v>0</v>
      </c>
      <c r="AD26" s="227">
        <v>0</v>
      </c>
      <c r="AE26" s="226">
        <v>0</v>
      </c>
      <c r="AF26" s="152">
        <v>0</v>
      </c>
      <c r="AH26" s="154"/>
    </row>
    <row r="27" spans="1:34" ht="13.2" x14ac:dyDescent="0.25">
      <c r="A27" s="105">
        <v>3540</v>
      </c>
      <c r="B27" s="158">
        <v>220</v>
      </c>
      <c r="C27" s="210" t="s">
        <v>70</v>
      </c>
      <c r="D27" s="116"/>
      <c r="E27" s="224"/>
      <c r="F27" s="224">
        <v>0</v>
      </c>
      <c r="G27" s="224">
        <v>88075</v>
      </c>
      <c r="H27" s="224"/>
      <c r="I27" s="224">
        <v>259949</v>
      </c>
      <c r="J27" s="224">
        <v>0</v>
      </c>
      <c r="K27" s="224"/>
      <c r="L27" s="224">
        <v>0</v>
      </c>
      <c r="M27" s="224">
        <v>1657645</v>
      </c>
      <c r="N27" s="224"/>
      <c r="O27" s="224">
        <v>0</v>
      </c>
      <c r="P27" s="224"/>
      <c r="Q27" s="224">
        <v>0</v>
      </c>
      <c r="R27" s="224"/>
      <c r="S27" s="224"/>
      <c r="T27" s="224">
        <v>125596</v>
      </c>
      <c r="U27" s="224">
        <v>0</v>
      </c>
      <c r="V27" s="224">
        <v>0</v>
      </c>
      <c r="W27" s="236"/>
      <c r="X27" s="226">
        <f t="shared" si="1"/>
        <v>2131265</v>
      </c>
      <c r="Y27" s="236"/>
      <c r="Z27" s="236"/>
      <c r="AA27" s="236"/>
      <c r="AB27" s="236"/>
      <c r="AC27" s="227">
        <v>0</v>
      </c>
      <c r="AD27" s="227">
        <v>2007725</v>
      </c>
      <c r="AE27" s="226">
        <v>2008</v>
      </c>
      <c r="AH27" s="154"/>
    </row>
    <row r="28" spans="1:34" ht="13.2" x14ac:dyDescent="0.25">
      <c r="B28" s="158"/>
      <c r="C28" s="210" t="s">
        <v>139</v>
      </c>
      <c r="D28" s="116"/>
      <c r="E28" s="224"/>
      <c r="F28" s="224"/>
      <c r="G28" s="224"/>
      <c r="H28" s="224"/>
      <c r="I28" s="224"/>
      <c r="J28" s="224"/>
      <c r="K28" s="224"/>
      <c r="L28" s="224"/>
      <c r="M28" s="224">
        <v>0</v>
      </c>
      <c r="N28" s="224"/>
      <c r="O28" s="224"/>
      <c r="P28" s="224"/>
      <c r="Q28" s="224"/>
      <c r="R28" s="224"/>
      <c r="S28" s="224"/>
      <c r="T28" s="224"/>
      <c r="U28" s="224"/>
      <c r="V28" s="224"/>
      <c r="W28" s="236"/>
      <c r="X28" s="226">
        <f t="shared" si="1"/>
        <v>0</v>
      </c>
      <c r="Y28" s="236"/>
      <c r="Z28" s="236"/>
      <c r="AA28" s="236"/>
      <c r="AB28" s="236"/>
      <c r="AC28" s="227">
        <v>0</v>
      </c>
      <c r="AD28" s="227">
        <v>0</v>
      </c>
      <c r="AE28" s="226">
        <v>0</v>
      </c>
      <c r="AH28" s="154"/>
    </row>
    <row r="29" spans="1:34" ht="13.2" x14ac:dyDescent="0.25">
      <c r="A29" s="105">
        <v>3570</v>
      </c>
      <c r="B29" s="158">
        <v>260</v>
      </c>
      <c r="C29" s="219" t="s">
        <v>138</v>
      </c>
      <c r="D29" s="116"/>
      <c r="E29" s="224"/>
      <c r="F29" s="224">
        <v>172983</v>
      </c>
      <c r="G29" s="224">
        <v>1316404</v>
      </c>
      <c r="H29" s="224"/>
      <c r="I29" s="224">
        <v>210250</v>
      </c>
      <c r="J29" s="224">
        <v>163964</v>
      </c>
      <c r="K29" s="224"/>
      <c r="L29" s="224">
        <v>457487</v>
      </c>
      <c r="M29" s="224">
        <v>2257625</v>
      </c>
      <c r="N29" s="224"/>
      <c r="O29" s="224">
        <v>0</v>
      </c>
      <c r="P29" s="224"/>
      <c r="Q29" s="224">
        <v>0</v>
      </c>
      <c r="R29" s="224"/>
      <c r="S29" s="224"/>
      <c r="T29" s="224">
        <v>0</v>
      </c>
      <c r="U29" s="224">
        <v>0</v>
      </c>
      <c r="V29" s="224">
        <v>0</v>
      </c>
      <c r="W29" s="236"/>
      <c r="X29" s="226">
        <f t="shared" si="1"/>
        <v>4578713</v>
      </c>
      <c r="Y29" s="236"/>
      <c r="Z29" s="236"/>
      <c r="AA29" s="236"/>
      <c r="AB29" s="236"/>
      <c r="AC29" s="227">
        <v>0</v>
      </c>
      <c r="AD29" s="227">
        <v>4448463</v>
      </c>
      <c r="AE29" s="226">
        <v>4448</v>
      </c>
      <c r="AH29" s="154"/>
    </row>
    <row r="30" spans="1:34" ht="13.2" x14ac:dyDescent="0.25">
      <c r="A30" s="105">
        <v>3580</v>
      </c>
      <c r="B30" s="158">
        <v>261</v>
      </c>
      <c r="C30" s="219" t="s">
        <v>140</v>
      </c>
      <c r="D30" s="116"/>
      <c r="E30" s="240"/>
      <c r="F30" s="240">
        <v>2101510</v>
      </c>
      <c r="G30" s="240">
        <v>9556965</v>
      </c>
      <c r="H30" s="240"/>
      <c r="I30" s="240">
        <v>55311172</v>
      </c>
      <c r="J30" s="240">
        <v>2756192</v>
      </c>
      <c r="K30" s="240"/>
      <c r="L30" s="240">
        <v>4923810</v>
      </c>
      <c r="M30" s="240">
        <v>113573755</v>
      </c>
      <c r="N30" s="240"/>
      <c r="O30" s="240">
        <v>0</v>
      </c>
      <c r="P30" s="240"/>
      <c r="Q30" s="240">
        <v>34993324</v>
      </c>
      <c r="R30" s="240"/>
      <c r="S30" s="240"/>
      <c r="T30" s="240">
        <v>0</v>
      </c>
      <c r="U30" s="240">
        <v>0</v>
      </c>
      <c r="V30" s="240">
        <v>0</v>
      </c>
      <c r="W30" s="231"/>
      <c r="X30" s="231">
        <f t="shared" si="1"/>
        <v>223216728</v>
      </c>
      <c r="Y30" s="231"/>
      <c r="Z30" s="231"/>
      <c r="AA30" s="231"/>
      <c r="AB30" s="231"/>
      <c r="AC30" s="232">
        <v>0</v>
      </c>
      <c r="AD30" s="232">
        <v>196669837</v>
      </c>
      <c r="AE30" s="231">
        <v>196670</v>
      </c>
      <c r="AH30" s="154"/>
    </row>
    <row r="31" spans="1:34" ht="13.2" x14ac:dyDescent="0.25">
      <c r="C31" s="208" t="s">
        <v>16</v>
      </c>
      <c r="D31" s="106"/>
      <c r="E31" s="231"/>
      <c r="F31" s="231">
        <v>3845445</v>
      </c>
      <c r="G31" s="231">
        <v>15378805</v>
      </c>
      <c r="H31" s="231"/>
      <c r="I31" s="231">
        <v>56405820</v>
      </c>
      <c r="J31" s="231">
        <v>3857432</v>
      </c>
      <c r="K31" s="231"/>
      <c r="L31" s="231">
        <v>7854157</v>
      </c>
      <c r="M31" s="231">
        <v>121047714</v>
      </c>
      <c r="N31" s="231"/>
      <c r="O31" s="231">
        <v>0</v>
      </c>
      <c r="P31" s="231"/>
      <c r="Q31" s="231">
        <v>35520239</v>
      </c>
      <c r="R31" s="231"/>
      <c r="S31" s="231"/>
      <c r="T31" s="231">
        <v>338004</v>
      </c>
      <c r="U31" s="231">
        <v>178070</v>
      </c>
      <c r="V31" s="231">
        <v>2060351</v>
      </c>
      <c r="W31" s="231"/>
      <c r="X31" s="231">
        <f>SUM(X21:X30)</f>
        <v>246486037</v>
      </c>
      <c r="Y31" s="231">
        <v>0</v>
      </c>
      <c r="Z31" s="231">
        <v>0</v>
      </c>
      <c r="AA31" s="231">
        <v>0</v>
      </c>
      <c r="AB31" s="231"/>
      <c r="AC31" s="231">
        <v>0</v>
      </c>
      <c r="AD31" s="231">
        <v>227768138</v>
      </c>
      <c r="AE31" s="231">
        <v>227768</v>
      </c>
      <c r="AH31" s="154"/>
    </row>
    <row r="32" spans="1:34" ht="6.75" customHeight="1" x14ac:dyDescent="0.2">
      <c r="C32" s="116"/>
      <c r="D32" s="119"/>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7"/>
      <c r="AD32" s="227"/>
      <c r="AE32" s="226"/>
      <c r="AH32" s="154"/>
    </row>
    <row r="33" spans="1:34" ht="13.2" x14ac:dyDescent="0.25">
      <c r="C33" s="208" t="s">
        <v>318</v>
      </c>
      <c r="D33" s="119"/>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7"/>
      <c r="AD33" s="227"/>
      <c r="AE33" s="226"/>
      <c r="AH33" s="154"/>
    </row>
    <row r="34" spans="1:34" ht="13.2" x14ac:dyDescent="0.25">
      <c r="A34" s="105">
        <v>3630</v>
      </c>
      <c r="C34" s="220" t="s">
        <v>326</v>
      </c>
      <c r="D34" s="119"/>
      <c r="E34" s="224"/>
      <c r="F34" s="224">
        <v>4205304</v>
      </c>
      <c r="G34" s="224">
        <v>37946923</v>
      </c>
      <c r="H34" s="224"/>
      <c r="I34" s="224">
        <v>46734</v>
      </c>
      <c r="J34" s="224">
        <v>1400104</v>
      </c>
      <c r="K34" s="224"/>
      <c r="L34" s="224">
        <v>7714908</v>
      </c>
      <c r="M34" s="224">
        <v>10002833</v>
      </c>
      <c r="N34" s="224"/>
      <c r="O34" s="224">
        <v>0</v>
      </c>
      <c r="P34" s="224"/>
      <c r="Q34" s="224">
        <v>1283539</v>
      </c>
      <c r="R34" s="224"/>
      <c r="S34" s="224"/>
      <c r="T34" s="224">
        <v>174868</v>
      </c>
      <c r="U34" s="224">
        <v>47442</v>
      </c>
      <c r="V34" s="224">
        <v>101945</v>
      </c>
      <c r="W34" s="226"/>
      <c r="X34" s="226">
        <f>SUM(E34:V34)</f>
        <v>62924600</v>
      </c>
      <c r="Y34" s="226">
        <v>0</v>
      </c>
      <c r="Z34" s="226">
        <v>0</v>
      </c>
      <c r="AA34" s="226"/>
      <c r="AB34" s="226"/>
      <c r="AC34" s="227">
        <v>0</v>
      </c>
      <c r="AD34" s="227">
        <v>96013759</v>
      </c>
      <c r="AE34" s="226">
        <v>96014</v>
      </c>
      <c r="AH34" s="154"/>
    </row>
    <row r="35" spans="1:34" ht="13.2" x14ac:dyDescent="0.25">
      <c r="C35" s="220" t="s">
        <v>33</v>
      </c>
      <c r="D35" s="119"/>
      <c r="E35" s="224"/>
      <c r="F35" s="224"/>
      <c r="G35" s="224"/>
      <c r="H35" s="224"/>
      <c r="I35" s="224"/>
      <c r="J35" s="224"/>
      <c r="K35" s="224"/>
      <c r="L35" s="224"/>
      <c r="M35" s="224"/>
      <c r="N35" s="224"/>
      <c r="O35" s="224"/>
      <c r="P35" s="224"/>
      <c r="Q35" s="224"/>
      <c r="R35" s="224"/>
      <c r="S35" s="224"/>
      <c r="T35" s="224"/>
      <c r="U35" s="224"/>
      <c r="V35" s="224"/>
      <c r="W35" s="226"/>
      <c r="X35" s="226">
        <f t="shared" ref="X35:X40" si="2">SUM(E35:V35)</f>
        <v>0</v>
      </c>
      <c r="Y35" s="226"/>
      <c r="Z35" s="226"/>
      <c r="AA35" s="226"/>
      <c r="AB35" s="226"/>
      <c r="AC35" s="227">
        <v>0</v>
      </c>
      <c r="AD35" s="227">
        <v>0</v>
      </c>
      <c r="AE35" s="226">
        <v>0</v>
      </c>
      <c r="AH35" s="154"/>
    </row>
    <row r="36" spans="1:34" ht="13.2" x14ac:dyDescent="0.25">
      <c r="C36" s="210" t="s">
        <v>34</v>
      </c>
      <c r="D36" s="116"/>
      <c r="E36" s="224"/>
      <c r="F36" s="224"/>
      <c r="G36" s="224"/>
      <c r="H36" s="224"/>
      <c r="I36" s="224"/>
      <c r="J36" s="224"/>
      <c r="K36" s="224"/>
      <c r="L36" s="224"/>
      <c r="M36" s="224"/>
      <c r="N36" s="224"/>
      <c r="O36" s="224"/>
      <c r="P36" s="224"/>
      <c r="Q36" s="224"/>
      <c r="R36" s="224"/>
      <c r="S36" s="224"/>
      <c r="T36" s="224"/>
      <c r="U36" s="224"/>
      <c r="V36" s="224"/>
      <c r="W36" s="226"/>
      <c r="X36" s="226">
        <f t="shared" si="2"/>
        <v>0</v>
      </c>
      <c r="Y36" s="226"/>
      <c r="Z36" s="226"/>
      <c r="AA36" s="226"/>
      <c r="AB36" s="226"/>
      <c r="AC36" s="227">
        <v>0</v>
      </c>
      <c r="AD36" s="227">
        <v>0</v>
      </c>
      <c r="AE36" s="226">
        <v>0</v>
      </c>
      <c r="AH36" s="154"/>
    </row>
    <row r="37" spans="1:34" ht="13.2" x14ac:dyDescent="0.25">
      <c r="A37" s="105">
        <v>3640</v>
      </c>
      <c r="C37" s="219" t="s">
        <v>46</v>
      </c>
      <c r="D37" s="116"/>
      <c r="E37" s="224"/>
      <c r="F37" s="224">
        <v>524343602</v>
      </c>
      <c r="G37" s="224">
        <v>426923203</v>
      </c>
      <c r="H37" s="224"/>
      <c r="I37" s="224">
        <v>86112679</v>
      </c>
      <c r="J37" s="224">
        <v>24782919</v>
      </c>
      <c r="K37" s="224"/>
      <c r="L37" s="224">
        <v>88126363</v>
      </c>
      <c r="M37" s="224">
        <v>5430478</v>
      </c>
      <c r="N37" s="224"/>
      <c r="O37" s="224">
        <v>0</v>
      </c>
      <c r="P37" s="224"/>
      <c r="Q37" s="224">
        <v>12946935</v>
      </c>
      <c r="R37" s="224"/>
      <c r="S37" s="224"/>
      <c r="T37" s="224">
        <v>20227484</v>
      </c>
      <c r="U37" s="224">
        <v>87914688</v>
      </c>
      <c r="V37" s="224">
        <v>10707666</v>
      </c>
      <c r="W37" s="226"/>
      <c r="X37" s="226">
        <f t="shared" si="2"/>
        <v>1287516017</v>
      </c>
      <c r="Y37" s="226"/>
      <c r="Z37" s="226"/>
      <c r="AA37" s="226"/>
      <c r="AB37" s="226"/>
      <c r="AC37" s="227">
        <v>0</v>
      </c>
      <c r="AD37" s="227">
        <v>1149601428</v>
      </c>
      <c r="AE37" s="226">
        <v>1149601</v>
      </c>
      <c r="AH37" s="154"/>
    </row>
    <row r="38" spans="1:34" ht="13.2" x14ac:dyDescent="0.25">
      <c r="C38" s="210" t="s">
        <v>36</v>
      </c>
      <c r="D38" s="116"/>
      <c r="E38" s="224"/>
      <c r="F38" s="224"/>
      <c r="G38" s="224"/>
      <c r="H38" s="224"/>
      <c r="I38" s="224"/>
      <c r="J38" s="224"/>
      <c r="K38" s="224"/>
      <c r="L38" s="224"/>
      <c r="M38" s="224"/>
      <c r="N38" s="224"/>
      <c r="O38" s="224"/>
      <c r="P38" s="224"/>
      <c r="Q38" s="224"/>
      <c r="R38" s="224"/>
      <c r="S38" s="224"/>
      <c r="T38" s="224"/>
      <c r="U38" s="224"/>
      <c r="V38" s="224"/>
      <c r="W38" s="226"/>
      <c r="X38" s="226">
        <f t="shared" si="2"/>
        <v>0</v>
      </c>
      <c r="Y38" s="226"/>
      <c r="Z38" s="226"/>
      <c r="AA38" s="226"/>
      <c r="AB38" s="226"/>
      <c r="AC38" s="227">
        <v>0</v>
      </c>
      <c r="AD38" s="227">
        <v>0</v>
      </c>
      <c r="AE38" s="226">
        <v>0</v>
      </c>
      <c r="AH38" s="154"/>
    </row>
    <row r="39" spans="1:34" ht="13.2" x14ac:dyDescent="0.25">
      <c r="A39" s="105">
        <v>3650</v>
      </c>
      <c r="C39" s="219" t="s">
        <v>46</v>
      </c>
      <c r="D39" s="116"/>
      <c r="E39" s="224"/>
      <c r="F39" s="224">
        <v>779648889</v>
      </c>
      <c r="G39" s="224">
        <v>402372716</v>
      </c>
      <c r="H39" s="224"/>
      <c r="I39" s="224">
        <v>117791782</v>
      </c>
      <c r="J39" s="224">
        <v>27213793</v>
      </c>
      <c r="K39" s="224"/>
      <c r="L39" s="224">
        <v>89797497</v>
      </c>
      <c r="M39" s="224">
        <v>12010655</v>
      </c>
      <c r="N39" s="224"/>
      <c r="O39" s="224">
        <v>0</v>
      </c>
      <c r="P39" s="224"/>
      <c r="Q39" s="224">
        <v>17642491</v>
      </c>
      <c r="R39" s="224"/>
      <c r="S39" s="224"/>
      <c r="T39" s="224">
        <v>14944011</v>
      </c>
      <c r="U39" s="224">
        <v>9940787</v>
      </c>
      <c r="V39" s="224">
        <v>21336157</v>
      </c>
      <c r="W39" s="226"/>
      <c r="X39" s="226">
        <f t="shared" si="2"/>
        <v>1492698778</v>
      </c>
      <c r="Y39" s="226"/>
      <c r="Z39" s="226">
        <v>0</v>
      </c>
      <c r="AA39" s="226"/>
      <c r="AB39" s="226"/>
      <c r="AC39" s="227">
        <v>0</v>
      </c>
      <c r="AD39" s="227">
        <v>894589867</v>
      </c>
      <c r="AE39" s="226">
        <v>894590</v>
      </c>
      <c r="AH39" s="154"/>
    </row>
    <row r="40" spans="1:34" ht="13.2" x14ac:dyDescent="0.25">
      <c r="A40" s="105">
        <v>3680</v>
      </c>
      <c r="C40" s="220" t="s">
        <v>15</v>
      </c>
      <c r="D40" s="116"/>
      <c r="E40" s="224"/>
      <c r="F40" s="224">
        <v>105909254</v>
      </c>
      <c r="G40" s="224">
        <v>22922135</v>
      </c>
      <c r="H40" s="224"/>
      <c r="I40" s="224">
        <v>35976710</v>
      </c>
      <c r="J40" s="224">
        <v>4134279</v>
      </c>
      <c r="K40" s="224"/>
      <c r="L40" s="224">
        <v>18066831</v>
      </c>
      <c r="M40" s="224">
        <v>5615000</v>
      </c>
      <c r="N40" s="224"/>
      <c r="O40" s="224">
        <v>0</v>
      </c>
      <c r="P40" s="224"/>
      <c r="Q40" s="224">
        <v>34058743</v>
      </c>
      <c r="R40" s="224"/>
      <c r="S40" s="224"/>
      <c r="T40" s="224">
        <v>2410269</v>
      </c>
      <c r="U40" s="224">
        <v>2033834</v>
      </c>
      <c r="V40" s="224">
        <v>6577378</v>
      </c>
      <c r="W40" s="226"/>
      <c r="X40" s="226">
        <f t="shared" si="2"/>
        <v>237704433</v>
      </c>
      <c r="Y40" s="226">
        <v>0</v>
      </c>
      <c r="Z40" s="226"/>
      <c r="AA40" s="226"/>
      <c r="AB40" s="226"/>
      <c r="AC40" s="227">
        <v>0</v>
      </c>
      <c r="AD40" s="227">
        <v>127766458</v>
      </c>
      <c r="AE40" s="226">
        <v>127766</v>
      </c>
      <c r="AH40" s="154"/>
    </row>
    <row r="41" spans="1:34" ht="13.8" thickBot="1" x14ac:dyDescent="0.3">
      <c r="C41" s="208" t="s">
        <v>320</v>
      </c>
      <c r="D41" s="116"/>
      <c r="E41" s="241"/>
      <c r="F41" s="241">
        <v>1414107049</v>
      </c>
      <c r="G41" s="241">
        <v>890164977</v>
      </c>
      <c r="H41" s="241"/>
      <c r="I41" s="241">
        <v>239927905</v>
      </c>
      <c r="J41" s="241">
        <v>57531095</v>
      </c>
      <c r="K41" s="241"/>
      <c r="L41" s="241">
        <v>203705599</v>
      </c>
      <c r="M41" s="241">
        <v>33058966</v>
      </c>
      <c r="N41" s="241"/>
      <c r="O41" s="241">
        <v>0</v>
      </c>
      <c r="P41" s="241"/>
      <c r="Q41" s="241">
        <v>65931708</v>
      </c>
      <c r="R41" s="241"/>
      <c r="S41" s="241"/>
      <c r="T41" s="241">
        <v>37756632</v>
      </c>
      <c r="U41" s="241">
        <v>99936751</v>
      </c>
      <c r="V41" s="241">
        <v>38723146</v>
      </c>
      <c r="W41" s="241"/>
      <c r="X41" s="241">
        <f>SUM(X34:X40)</f>
        <v>3080843828</v>
      </c>
      <c r="Y41" s="241">
        <v>0</v>
      </c>
      <c r="Z41" s="241">
        <v>0</v>
      </c>
      <c r="AA41" s="241">
        <v>0</v>
      </c>
      <c r="AB41" s="241"/>
      <c r="AC41" s="241">
        <v>0</v>
      </c>
      <c r="AD41" s="242">
        <v>2267971512</v>
      </c>
      <c r="AE41" s="242">
        <v>2267971</v>
      </c>
      <c r="AH41" s="154"/>
    </row>
    <row r="42" spans="1:34" ht="6" customHeight="1" thickTop="1" x14ac:dyDescent="0.2">
      <c r="C42" s="116"/>
      <c r="D42" s="116"/>
      <c r="E42" s="212"/>
      <c r="F42" s="212"/>
      <c r="G42" s="212"/>
      <c r="H42" s="212"/>
      <c r="I42" s="212"/>
      <c r="J42" s="212"/>
      <c r="K42" s="212"/>
      <c r="L42" s="212"/>
      <c r="M42" s="212"/>
      <c r="N42" s="212"/>
      <c r="O42" s="212"/>
      <c r="P42" s="212"/>
      <c r="Q42" s="212"/>
      <c r="R42" s="212"/>
      <c r="S42" s="212"/>
      <c r="T42" s="212"/>
      <c r="U42" s="212"/>
      <c r="V42" s="212"/>
      <c r="W42" s="212"/>
      <c r="AC42" s="211"/>
      <c r="AD42" s="211"/>
      <c r="AH42" s="154"/>
    </row>
    <row r="43" spans="1:34" ht="10.5" customHeight="1" x14ac:dyDescent="0.2">
      <c r="C43" s="154"/>
      <c r="D43" s="163"/>
      <c r="E43" s="221" t="str">
        <f t="shared" ref="E43:U43" si="3">IF(E18-E31=E41,"In Balance","Not Balanced")</f>
        <v>In Balance</v>
      </c>
      <c r="F43" s="221" t="str">
        <f t="shared" si="3"/>
        <v>In Balance</v>
      </c>
      <c r="G43" s="221" t="str">
        <f t="shared" si="3"/>
        <v>In Balance</v>
      </c>
      <c r="H43" s="221" t="str">
        <f t="shared" si="3"/>
        <v>In Balance</v>
      </c>
      <c r="I43" s="221" t="str">
        <f t="shared" si="3"/>
        <v>In Balance</v>
      </c>
      <c r="J43" s="221" t="str">
        <f t="shared" si="3"/>
        <v>In Balance</v>
      </c>
      <c r="K43" s="221" t="str">
        <f t="shared" si="3"/>
        <v>In Balance</v>
      </c>
      <c r="L43" s="221" t="str">
        <f t="shared" si="3"/>
        <v>In Balance</v>
      </c>
      <c r="M43" s="221" t="str">
        <f t="shared" si="3"/>
        <v>In Balance</v>
      </c>
      <c r="N43" s="221" t="str">
        <f t="shared" si="3"/>
        <v>In Balance</v>
      </c>
      <c r="O43" s="221" t="str">
        <f t="shared" si="3"/>
        <v>In Balance</v>
      </c>
      <c r="P43" s="221" t="str">
        <f t="shared" si="3"/>
        <v>In Balance</v>
      </c>
      <c r="Q43" s="221" t="str">
        <f t="shared" si="3"/>
        <v>In Balance</v>
      </c>
      <c r="R43" s="221" t="str">
        <f t="shared" si="3"/>
        <v>In Balance</v>
      </c>
      <c r="S43" s="221" t="str">
        <f t="shared" si="3"/>
        <v>In Balance</v>
      </c>
      <c r="T43" s="221" t="str">
        <f t="shared" si="3"/>
        <v>In Balance</v>
      </c>
      <c r="U43" s="221" t="str">
        <f t="shared" si="3"/>
        <v>In Balance</v>
      </c>
      <c r="V43" s="221" t="str">
        <f>IF(V18-V31=V41,"In Balance","Not Balanced")</f>
        <v>In Balance</v>
      </c>
      <c r="W43" s="221"/>
      <c r="X43" s="221" t="str">
        <f>IF(X18-X31=X41,"In Balance","Not Balanced")</f>
        <v>In Balance</v>
      </c>
      <c r="Y43" s="221" t="str">
        <f>IF(Y18-Y31=Y41,"In Balance","Not Balanced")</f>
        <v>In Balance</v>
      </c>
      <c r="Z43" s="221" t="str">
        <f>IF(Z18-Z31=Z41,"In Balance","Not Balanced")</f>
        <v>In Balance</v>
      </c>
      <c r="AA43" s="221" t="str">
        <f>IF(AA18-AA31=AA41,"In Balance","Not Balanced")</f>
        <v>In Balance</v>
      </c>
      <c r="AB43" s="221"/>
      <c r="AC43" s="221" t="str">
        <f>IF(AC18-AC31=AC41,"In Balance","Not Balanced")</f>
        <v>In Balance</v>
      </c>
      <c r="AD43" s="221" t="str">
        <f>IF(AD18-AD31=AD41,"In Balance","Not Balanced")</f>
        <v>In Balance</v>
      </c>
      <c r="AE43" s="221" t="str">
        <f>IF(AE18-AE31=AE41,"In Balance","Not Balanced")</f>
        <v>In Balance</v>
      </c>
      <c r="AH43" s="154"/>
    </row>
    <row r="44" spans="1:34" x14ac:dyDescent="0.2">
      <c r="E44" s="222"/>
      <c r="F44" s="222"/>
      <c r="G44" s="222"/>
      <c r="H44" s="222"/>
      <c r="I44" s="222"/>
      <c r="J44" s="222"/>
      <c r="K44" s="222"/>
      <c r="L44" s="222"/>
      <c r="M44" s="222"/>
      <c r="N44" s="222"/>
      <c r="O44" s="222"/>
      <c r="P44" s="222"/>
      <c r="Q44" s="222"/>
      <c r="R44" s="222"/>
      <c r="S44" s="222"/>
      <c r="T44" s="222"/>
      <c r="U44" s="222"/>
      <c r="V44" s="222"/>
      <c r="W44" s="222"/>
      <c r="X44" s="222"/>
    </row>
    <row r="45" spans="1:34" x14ac:dyDescent="0.2">
      <c r="X45" s="125"/>
      <c r="AE45" s="106">
        <f>-AE31+AE18</f>
        <v>2267971</v>
      </c>
    </row>
    <row r="46" spans="1:34" x14ac:dyDescent="0.2">
      <c r="E46" s="165"/>
      <c r="F46" s="165"/>
      <c r="G46" s="165"/>
      <c r="H46" s="165"/>
      <c r="I46" s="165"/>
      <c r="J46" s="165"/>
      <c r="K46" s="165"/>
      <c r="L46" s="165"/>
      <c r="M46" s="165"/>
      <c r="N46" s="165"/>
      <c r="O46" s="165"/>
      <c r="P46" s="165"/>
      <c r="Q46" s="165"/>
      <c r="R46" s="165"/>
      <c r="S46" s="165"/>
      <c r="T46" s="165"/>
      <c r="U46" s="165"/>
      <c r="V46" s="165"/>
      <c r="W46" s="165"/>
      <c r="AE46" s="106">
        <f>+AE41</f>
        <v>2267971</v>
      </c>
    </row>
    <row r="47" spans="1:34" x14ac:dyDescent="0.2">
      <c r="E47" s="165"/>
      <c r="F47" s="165"/>
      <c r="G47" s="165"/>
      <c r="H47" s="165"/>
      <c r="I47" s="165"/>
      <c r="J47" s="165"/>
      <c r="K47" s="165"/>
      <c r="L47" s="165"/>
      <c r="M47" s="165"/>
      <c r="N47" s="165"/>
      <c r="O47" s="165"/>
      <c r="P47" s="165"/>
      <c r="Q47" s="165"/>
      <c r="R47" s="165"/>
      <c r="S47" s="165"/>
      <c r="T47" s="165"/>
      <c r="U47" s="165"/>
      <c r="V47" s="165"/>
      <c r="W47" s="165"/>
    </row>
    <row r="48" spans="1:34" x14ac:dyDescent="0.2">
      <c r="E48" s="165"/>
      <c r="F48" s="165"/>
      <c r="G48" s="165"/>
      <c r="H48" s="165"/>
      <c r="I48" s="165"/>
      <c r="J48" s="165"/>
      <c r="K48" s="165"/>
      <c r="L48" s="165"/>
      <c r="M48" s="165"/>
      <c r="N48" s="165"/>
      <c r="O48" s="165"/>
      <c r="P48" s="165"/>
      <c r="Q48" s="165"/>
      <c r="R48" s="165"/>
      <c r="S48" s="165"/>
      <c r="T48" s="165"/>
      <c r="U48" s="165"/>
      <c r="V48" s="165"/>
      <c r="W48" s="165"/>
    </row>
    <row r="49" spans="2:30" x14ac:dyDescent="0.2">
      <c r="E49" s="165"/>
      <c r="F49" s="165"/>
      <c r="G49" s="165"/>
      <c r="H49" s="165"/>
      <c r="I49" s="165"/>
      <c r="J49" s="165"/>
      <c r="K49" s="165"/>
      <c r="L49" s="165"/>
      <c r="M49" s="165"/>
      <c r="N49" s="165"/>
      <c r="O49" s="165"/>
      <c r="P49" s="165"/>
      <c r="Q49" s="165"/>
      <c r="R49" s="165"/>
      <c r="S49" s="165"/>
      <c r="T49" s="165"/>
      <c r="U49" s="165"/>
      <c r="V49" s="165"/>
      <c r="W49" s="165"/>
      <c r="X49" s="165"/>
    </row>
    <row r="50" spans="2:30" x14ac:dyDescent="0.2">
      <c r="E50" s="165"/>
      <c r="F50" s="165"/>
      <c r="G50" s="165"/>
      <c r="H50" s="165"/>
      <c r="I50" s="165"/>
      <c r="J50" s="165"/>
      <c r="K50" s="165"/>
      <c r="L50" s="165"/>
      <c r="M50" s="165"/>
      <c r="N50" s="165"/>
      <c r="O50" s="165"/>
      <c r="P50" s="165"/>
      <c r="Q50" s="165"/>
      <c r="R50" s="165"/>
      <c r="S50" s="165"/>
      <c r="T50" s="165"/>
      <c r="U50" s="165"/>
      <c r="V50" s="165"/>
      <c r="W50" s="165"/>
      <c r="X50" s="165"/>
    </row>
    <row r="51" spans="2:30" x14ac:dyDescent="0.2">
      <c r="E51" s="165"/>
      <c r="F51" s="165"/>
      <c r="G51" s="165"/>
      <c r="H51" s="165"/>
      <c r="I51" s="165"/>
      <c r="J51" s="165"/>
      <c r="K51" s="165"/>
      <c r="L51" s="165"/>
      <c r="M51" s="165"/>
      <c r="N51" s="165"/>
      <c r="O51" s="165"/>
      <c r="P51" s="165"/>
      <c r="Q51" s="165"/>
      <c r="R51" s="165"/>
      <c r="S51" s="165"/>
      <c r="T51" s="165"/>
      <c r="U51" s="165"/>
      <c r="V51" s="165"/>
      <c r="W51" s="165"/>
    </row>
    <row r="52" spans="2:30" ht="13.2" x14ac:dyDescent="0.25">
      <c r="B52" s="158"/>
      <c r="C52" s="223"/>
      <c r="E52" s="95"/>
      <c r="F52" s="165"/>
      <c r="G52" s="165"/>
      <c r="H52" s="165"/>
      <c r="I52" s="165"/>
      <c r="J52" s="165"/>
      <c r="K52" s="165"/>
      <c r="L52" s="165"/>
      <c r="M52" s="165"/>
      <c r="N52" s="165"/>
      <c r="O52" s="165"/>
      <c r="P52" s="165"/>
      <c r="Q52" s="165"/>
      <c r="R52" s="165"/>
      <c r="S52" s="165"/>
      <c r="T52" s="165"/>
      <c r="U52" s="165"/>
      <c r="V52" s="165"/>
      <c r="W52" s="165"/>
      <c r="X52" s="165"/>
    </row>
    <row r="53" spans="2:30" ht="13.2" x14ac:dyDescent="0.25">
      <c r="E53" s="95"/>
      <c r="F53" s="165"/>
      <c r="G53" s="165"/>
      <c r="H53" s="165"/>
      <c r="I53" s="165"/>
      <c r="J53" s="165"/>
      <c r="K53" s="165"/>
      <c r="L53" s="165"/>
      <c r="M53" s="165"/>
      <c r="N53" s="165"/>
      <c r="O53" s="165"/>
      <c r="P53" s="165"/>
      <c r="Q53" s="165"/>
      <c r="R53" s="165"/>
      <c r="S53" s="165"/>
      <c r="T53" s="165"/>
      <c r="U53" s="165"/>
      <c r="V53" s="165"/>
      <c r="W53" s="165"/>
      <c r="X53" s="165"/>
      <c r="AD53" s="124">
        <f>SUM(AD49:AD51)</f>
        <v>0</v>
      </c>
    </row>
    <row r="54" spans="2:30" x14ac:dyDescent="0.2">
      <c r="E54" s="165"/>
      <c r="F54" s="165"/>
      <c r="G54" s="165"/>
      <c r="H54" s="165"/>
      <c r="I54" s="165"/>
      <c r="J54" s="165"/>
      <c r="K54" s="165"/>
      <c r="L54" s="165"/>
      <c r="M54" s="165"/>
      <c r="N54" s="165"/>
      <c r="O54" s="165"/>
      <c r="P54" s="165"/>
      <c r="Q54" s="165"/>
      <c r="R54" s="165"/>
      <c r="S54" s="165"/>
      <c r="T54" s="165"/>
      <c r="U54" s="165"/>
      <c r="V54" s="165"/>
      <c r="W54" s="165"/>
      <c r="X54" s="165"/>
    </row>
  </sheetData>
  <sheetProtection algorithmName="SHA-512" hashValue="lFrAEkEAto+6DQ+uEM6+7ryfWzNDkkIIN5Q4i7qnfx4+fEr/N74oa3DOCNq8vOOP/vrJwqkOGvYBn61cKdmhvw==" saltValue="c2v+/MkO7Cp8lC87SwdTTg==" spinCount="100000" sheet="1" autoFilter="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4DBAC-D4BD-437D-8539-E29F1B76647D}">
  <sheetPr codeName="Sheet12"/>
  <dimension ref="A1:AB33"/>
  <sheetViews>
    <sheetView workbookViewId="0"/>
  </sheetViews>
  <sheetFormatPr defaultColWidth="9.109375" defaultRowHeight="13.2" x14ac:dyDescent="0.25"/>
  <cols>
    <col min="1" max="1" width="5" style="243" bestFit="1" customWidth="1"/>
    <col min="2" max="2" width="4.88671875" style="95" customWidth="1"/>
    <col min="3" max="3" width="35" style="95" customWidth="1"/>
    <col min="4" max="4" width="2.44140625" style="95" customWidth="1"/>
    <col min="5" max="5" width="7" style="95" customWidth="1"/>
    <col min="6" max="6" width="17.6640625" style="95" bestFit="1" customWidth="1"/>
    <col min="7" max="7" width="12.33203125" style="95" customWidth="1"/>
    <col min="8" max="8" width="5" style="95" customWidth="1"/>
    <col min="9" max="9" width="12.33203125" style="95" bestFit="1" customWidth="1"/>
    <col min="10" max="10" width="11" style="95" customWidth="1"/>
    <col min="11" max="11" width="8.21875" style="95" customWidth="1"/>
    <col min="12" max="12" width="12.109375" style="95" customWidth="1"/>
    <col min="13" max="13" width="11.33203125" style="95" bestFit="1" customWidth="1"/>
    <col min="14" max="14" width="5.5546875" style="95" customWidth="1"/>
    <col min="15" max="15" width="16" style="95" bestFit="1" customWidth="1"/>
    <col min="16" max="16" width="6.33203125" style="95" customWidth="1"/>
    <col min="17" max="17" width="11.33203125" style="95" bestFit="1" customWidth="1"/>
    <col min="18" max="18" width="6" style="95" customWidth="1"/>
    <col min="19" max="19" width="5.5546875" style="95" customWidth="1"/>
    <col min="20" max="20" width="11.5546875" style="95" bestFit="1" customWidth="1"/>
    <col min="21" max="21" width="11" style="95" customWidth="1"/>
    <col min="22" max="22" width="11.109375" style="95" customWidth="1"/>
    <col min="23" max="23" width="11.88671875" style="95" hidden="1" customWidth="1"/>
    <col min="24" max="24" width="14" style="95" bestFit="1" customWidth="1"/>
    <col min="25" max="25" width="1.88671875" style="95" hidden="1" customWidth="1"/>
    <col min="26" max="26" width="13" style="95" hidden="1" customWidth="1"/>
    <col min="27" max="28" width="0" style="95" hidden="1" customWidth="1"/>
    <col min="29" max="16384" width="9.109375" style="95"/>
  </cols>
  <sheetData>
    <row r="1" spans="1:27" x14ac:dyDescent="0.25">
      <c r="C1" s="153" t="s">
        <v>253</v>
      </c>
      <c r="D1" s="154"/>
      <c r="E1" s="152"/>
      <c r="F1" s="154"/>
      <c r="G1" s="154"/>
      <c r="H1" s="154"/>
      <c r="I1" s="154"/>
      <c r="J1" s="154"/>
      <c r="K1" s="154"/>
      <c r="L1" s="154"/>
      <c r="M1" s="154"/>
      <c r="N1" s="154"/>
      <c r="O1" s="154"/>
      <c r="P1" s="154"/>
      <c r="Q1" s="154"/>
      <c r="R1" s="154"/>
      <c r="S1" s="154"/>
      <c r="T1" s="154"/>
      <c r="U1" s="154"/>
      <c r="V1" s="154"/>
      <c r="W1" s="154"/>
      <c r="X1" s="125"/>
    </row>
    <row r="2" spans="1:27" ht="14.4" x14ac:dyDescent="0.35">
      <c r="C2" s="155" t="s">
        <v>254</v>
      </c>
      <c r="D2" s="154"/>
      <c r="E2" s="50" t="s">
        <v>255</v>
      </c>
      <c r="F2" s="50" t="s">
        <v>256</v>
      </c>
      <c r="G2" s="50" t="s">
        <v>257</v>
      </c>
      <c r="H2" s="50" t="s">
        <v>258</v>
      </c>
      <c r="I2" s="50" t="s">
        <v>259</v>
      </c>
      <c r="J2" s="50" t="s">
        <v>260</v>
      </c>
      <c r="K2" s="50" t="s">
        <v>261</v>
      </c>
      <c r="L2" s="50" t="s">
        <v>262</v>
      </c>
      <c r="M2" s="50" t="s">
        <v>263</v>
      </c>
      <c r="N2" s="50" t="s">
        <v>264</v>
      </c>
      <c r="O2" s="50" t="s">
        <v>265</v>
      </c>
      <c r="P2" s="50" t="s">
        <v>266</v>
      </c>
      <c r="Q2" s="50" t="s">
        <v>267</v>
      </c>
      <c r="R2" s="50" t="s">
        <v>268</v>
      </c>
      <c r="S2" s="50" t="s">
        <v>269</v>
      </c>
      <c r="T2" s="50" t="s">
        <v>270</v>
      </c>
      <c r="U2" s="50" t="s">
        <v>271</v>
      </c>
      <c r="V2" s="50" t="s">
        <v>272</v>
      </c>
      <c r="W2" s="154"/>
      <c r="X2" s="125"/>
      <c r="Z2" s="202" t="s">
        <v>364</v>
      </c>
    </row>
    <row r="3" spans="1:27" x14ac:dyDescent="0.25">
      <c r="C3" s="112">
        <v>44377</v>
      </c>
      <c r="D3" s="201"/>
      <c r="E3" s="154"/>
      <c r="F3" s="154"/>
      <c r="G3" s="154"/>
      <c r="H3" s="154"/>
      <c r="I3" s="154"/>
      <c r="J3" s="154"/>
      <c r="K3" s="154"/>
      <c r="L3" s="154"/>
      <c r="M3" s="204"/>
      <c r="N3" s="154"/>
      <c r="O3" s="154"/>
      <c r="P3" s="154"/>
      <c r="Q3" s="154"/>
      <c r="R3" s="154"/>
      <c r="S3" s="154"/>
      <c r="T3" s="154"/>
      <c r="U3" s="154"/>
      <c r="V3" s="154"/>
      <c r="W3" s="154"/>
      <c r="X3" s="125"/>
      <c r="Z3" s="205" t="s">
        <v>7</v>
      </c>
    </row>
    <row r="4" spans="1:27" x14ac:dyDescent="0.25">
      <c r="C4" s="206" t="s">
        <v>365</v>
      </c>
      <c r="E4" s="154"/>
      <c r="F4" s="154"/>
      <c r="G4" s="154"/>
      <c r="H4" s="154"/>
      <c r="I4" s="154"/>
      <c r="J4" s="154"/>
      <c r="K4" s="154"/>
      <c r="L4" s="154"/>
      <c r="M4" s="204"/>
      <c r="N4" s="154"/>
      <c r="O4" s="154"/>
      <c r="P4" s="154"/>
      <c r="Q4" s="154"/>
      <c r="R4" s="154"/>
      <c r="S4" s="154"/>
      <c r="T4" s="154"/>
      <c r="U4" s="154"/>
      <c r="V4" s="154"/>
      <c r="W4" s="154" t="s">
        <v>376</v>
      </c>
      <c r="X4" s="125" t="s">
        <v>292</v>
      </c>
      <c r="Y4" s="125"/>
      <c r="Z4" s="108" t="s">
        <v>368</v>
      </c>
    </row>
    <row r="5" spans="1:27" s="312" customFormat="1" ht="21" x14ac:dyDescent="0.25">
      <c r="A5" s="311"/>
      <c r="C5" s="313"/>
      <c r="E5" s="308" t="s">
        <v>273</v>
      </c>
      <c r="F5" s="308" t="s">
        <v>274</v>
      </c>
      <c r="G5" s="308" t="s">
        <v>275</v>
      </c>
      <c r="H5" s="308" t="s">
        <v>276</v>
      </c>
      <c r="I5" s="308" t="s">
        <v>277</v>
      </c>
      <c r="J5" s="308" t="s">
        <v>278</v>
      </c>
      <c r="K5" s="314" t="s">
        <v>377</v>
      </c>
      <c r="L5" s="308" t="s">
        <v>280</v>
      </c>
      <c r="M5" s="308" t="s">
        <v>281</v>
      </c>
      <c r="N5" s="308" t="s">
        <v>282</v>
      </c>
      <c r="O5" s="308" t="s">
        <v>283</v>
      </c>
      <c r="P5" s="308" t="s">
        <v>284</v>
      </c>
      <c r="Q5" s="308" t="s">
        <v>285</v>
      </c>
      <c r="R5" s="308" t="s">
        <v>286</v>
      </c>
      <c r="S5" s="308" t="s">
        <v>287</v>
      </c>
      <c r="T5" s="308" t="s">
        <v>298</v>
      </c>
      <c r="U5" s="308" t="s">
        <v>299</v>
      </c>
      <c r="V5" s="308" t="s">
        <v>290</v>
      </c>
      <c r="W5" s="308" t="s">
        <v>397</v>
      </c>
      <c r="X5" s="309" t="s">
        <v>293</v>
      </c>
      <c r="Y5" s="309"/>
      <c r="Z5" s="310" t="s">
        <v>373</v>
      </c>
      <c r="AA5" s="315" t="s">
        <v>374</v>
      </c>
    </row>
    <row r="6" spans="1:27" x14ac:dyDescent="0.25">
      <c r="C6" s="208" t="s">
        <v>18</v>
      </c>
      <c r="E6" s="262"/>
      <c r="F6" s="262"/>
      <c r="G6" s="262"/>
      <c r="H6" s="262"/>
      <c r="I6" s="262"/>
      <c r="J6" s="262"/>
      <c r="K6" s="262"/>
      <c r="L6" s="262"/>
      <c r="M6" s="262"/>
      <c r="N6" s="262"/>
      <c r="O6" s="262"/>
      <c r="P6" s="262"/>
      <c r="Q6" s="262"/>
      <c r="R6" s="262"/>
      <c r="S6" s="262"/>
      <c r="T6" s="262"/>
      <c r="U6" s="262"/>
      <c r="V6" s="262"/>
      <c r="W6" s="262"/>
      <c r="X6" s="262"/>
      <c r="Y6" s="262"/>
      <c r="Z6" s="262"/>
    </row>
    <row r="7" spans="1:27" x14ac:dyDescent="0.25">
      <c r="A7" s="243">
        <v>2700</v>
      </c>
      <c r="B7" s="209">
        <v>505</v>
      </c>
      <c r="C7" s="244" t="s">
        <v>124</v>
      </c>
      <c r="E7" s="263"/>
      <c r="F7" s="263">
        <v>0</v>
      </c>
      <c r="G7" s="263">
        <v>690958</v>
      </c>
      <c r="H7" s="263"/>
      <c r="I7" s="263">
        <v>63246</v>
      </c>
      <c r="J7" s="263">
        <v>1688940</v>
      </c>
      <c r="K7" s="263"/>
      <c r="L7" s="263">
        <v>0</v>
      </c>
      <c r="M7" s="263">
        <v>0</v>
      </c>
      <c r="N7" s="263"/>
      <c r="O7" s="263">
        <v>0</v>
      </c>
      <c r="P7" s="263"/>
      <c r="Q7" s="263">
        <v>0</v>
      </c>
      <c r="R7" s="263"/>
      <c r="S7" s="263"/>
      <c r="T7" s="263">
        <v>0</v>
      </c>
      <c r="U7" s="263">
        <v>0</v>
      </c>
      <c r="V7" s="263">
        <v>0</v>
      </c>
      <c r="W7" s="263"/>
      <c r="X7" s="263">
        <f>SUM(E7:V7)</f>
        <v>2443144</v>
      </c>
      <c r="Y7" s="263"/>
      <c r="Z7" s="226">
        <v>1289</v>
      </c>
    </row>
    <row r="8" spans="1:27" x14ac:dyDescent="0.25">
      <c r="A8" s="243">
        <v>2710</v>
      </c>
      <c r="B8" s="209">
        <v>500</v>
      </c>
      <c r="C8" s="244" t="s">
        <v>42</v>
      </c>
      <c r="E8" s="263"/>
      <c r="F8" s="263">
        <v>58816783</v>
      </c>
      <c r="G8" s="263">
        <v>26349306</v>
      </c>
      <c r="H8" s="263"/>
      <c r="I8" s="263">
        <v>29172104</v>
      </c>
      <c r="J8" s="263">
        <v>3247050</v>
      </c>
      <c r="K8" s="263"/>
      <c r="L8" s="263">
        <v>10518917</v>
      </c>
      <c r="M8" s="263">
        <v>4916002</v>
      </c>
      <c r="N8" s="263"/>
      <c r="O8" s="263">
        <v>0</v>
      </c>
      <c r="P8" s="263"/>
      <c r="Q8" s="263">
        <v>33476851</v>
      </c>
      <c r="R8" s="263"/>
      <c r="S8" s="263"/>
      <c r="T8" s="263">
        <v>12782482</v>
      </c>
      <c r="U8" s="263">
        <v>4347561</v>
      </c>
      <c r="V8" s="263">
        <v>5296022</v>
      </c>
      <c r="W8" s="263"/>
      <c r="X8" s="263">
        <f t="shared" ref="X8:X31" si="0">SUM(E8:V8)</f>
        <v>188923078</v>
      </c>
      <c r="Y8" s="263"/>
      <c r="Z8" s="226">
        <v>102370</v>
      </c>
    </row>
    <row r="9" spans="1:27" x14ac:dyDescent="0.25">
      <c r="A9" s="243">
        <v>2890</v>
      </c>
      <c r="B9" s="209">
        <v>510</v>
      </c>
      <c r="C9" s="244" t="s">
        <v>43</v>
      </c>
      <c r="E9" s="263"/>
      <c r="F9" s="263">
        <v>100</v>
      </c>
      <c r="G9" s="263">
        <v>1140304</v>
      </c>
      <c r="H9" s="263"/>
      <c r="I9" s="263">
        <v>154369</v>
      </c>
      <c r="J9" s="263">
        <v>661996</v>
      </c>
      <c r="K9" s="263"/>
      <c r="L9" s="263">
        <v>0</v>
      </c>
      <c r="M9" s="263">
        <v>0</v>
      </c>
      <c r="N9" s="263"/>
      <c r="O9" s="263">
        <v>0</v>
      </c>
      <c r="P9" s="263"/>
      <c r="Q9" s="263">
        <v>0</v>
      </c>
      <c r="R9" s="263"/>
      <c r="S9" s="263"/>
      <c r="T9" s="263">
        <v>0</v>
      </c>
      <c r="U9" s="263">
        <v>0</v>
      </c>
      <c r="V9" s="263">
        <v>0</v>
      </c>
      <c r="W9" s="263"/>
      <c r="X9" s="263">
        <f t="shared" si="0"/>
        <v>1956769</v>
      </c>
      <c r="Y9" s="263"/>
      <c r="Z9" s="226">
        <v>5038</v>
      </c>
    </row>
    <row r="10" spans="1:27" x14ac:dyDescent="0.25">
      <c r="A10" s="243">
        <v>2900</v>
      </c>
      <c r="B10" s="209">
        <v>520</v>
      </c>
      <c r="C10" s="244" t="s">
        <v>45</v>
      </c>
      <c r="E10" s="263"/>
      <c r="F10" s="263">
        <v>38087184</v>
      </c>
      <c r="G10" s="263">
        <v>58505621</v>
      </c>
      <c r="H10" s="263"/>
      <c r="I10" s="263">
        <v>7059767</v>
      </c>
      <c r="J10" s="263">
        <v>846520</v>
      </c>
      <c r="K10" s="263"/>
      <c r="L10" s="263">
        <v>8923240</v>
      </c>
      <c r="M10" s="263">
        <v>64650</v>
      </c>
      <c r="N10" s="263"/>
      <c r="O10" s="263">
        <v>0</v>
      </c>
      <c r="P10" s="263"/>
      <c r="Q10" s="263">
        <v>0</v>
      </c>
      <c r="R10" s="263"/>
      <c r="S10" s="263"/>
      <c r="T10" s="263">
        <v>1358344</v>
      </c>
      <c r="U10" s="263">
        <v>0</v>
      </c>
      <c r="V10" s="263">
        <v>0</v>
      </c>
      <c r="W10" s="263"/>
      <c r="X10" s="263">
        <f t="shared" si="0"/>
        <v>114845326</v>
      </c>
      <c r="Y10" s="263"/>
      <c r="Z10" s="226">
        <v>60952</v>
      </c>
    </row>
    <row r="11" spans="1:27" x14ac:dyDescent="0.25">
      <c r="A11" s="243">
        <v>2760</v>
      </c>
      <c r="B11" s="209">
        <v>530</v>
      </c>
      <c r="C11" s="244" t="s">
        <v>19</v>
      </c>
      <c r="E11" s="263"/>
      <c r="F11" s="263">
        <v>335913531</v>
      </c>
      <c r="G11" s="263">
        <v>196198038</v>
      </c>
      <c r="H11" s="263"/>
      <c r="I11" s="263">
        <v>45363998</v>
      </c>
      <c r="J11" s="263">
        <v>14387165</v>
      </c>
      <c r="K11" s="263"/>
      <c r="L11" s="263">
        <v>42528998</v>
      </c>
      <c r="M11" s="263">
        <v>617080</v>
      </c>
      <c r="N11" s="263"/>
      <c r="O11" s="263">
        <v>0</v>
      </c>
      <c r="P11" s="263"/>
      <c r="Q11" s="263">
        <v>7991169</v>
      </c>
      <c r="R11" s="263"/>
      <c r="S11" s="263"/>
      <c r="T11" s="263">
        <v>4136267</v>
      </c>
      <c r="U11" s="263">
        <v>24475814</v>
      </c>
      <c r="V11" s="263">
        <v>5565897</v>
      </c>
      <c r="W11" s="263"/>
      <c r="X11" s="263">
        <f t="shared" si="0"/>
        <v>677177957</v>
      </c>
      <c r="Y11" s="263"/>
      <c r="Z11" s="226">
        <v>35942</v>
      </c>
    </row>
    <row r="12" spans="1:27" x14ac:dyDescent="0.25">
      <c r="A12" s="243">
        <v>2310</v>
      </c>
      <c r="B12" s="209">
        <v>540</v>
      </c>
      <c r="C12" s="244" t="s">
        <v>49</v>
      </c>
      <c r="E12" s="263"/>
      <c r="F12" s="263">
        <v>0</v>
      </c>
      <c r="G12" s="263">
        <v>0</v>
      </c>
      <c r="H12" s="263"/>
      <c r="I12" s="263">
        <v>0</v>
      </c>
      <c r="J12" s="263">
        <v>126249</v>
      </c>
      <c r="K12" s="263"/>
      <c r="L12" s="263">
        <v>0</v>
      </c>
      <c r="M12" s="263">
        <v>4739300</v>
      </c>
      <c r="N12" s="263"/>
      <c r="O12" s="263">
        <v>0</v>
      </c>
      <c r="P12" s="263"/>
      <c r="Q12" s="263">
        <v>0</v>
      </c>
      <c r="R12" s="263"/>
      <c r="S12" s="263"/>
      <c r="T12" s="263">
        <v>0</v>
      </c>
      <c r="U12" s="263">
        <v>0</v>
      </c>
      <c r="V12" s="263">
        <v>0</v>
      </c>
      <c r="W12" s="263"/>
      <c r="X12" s="263">
        <f t="shared" si="0"/>
        <v>4865549</v>
      </c>
      <c r="Y12" s="263"/>
      <c r="Z12" s="226">
        <v>4926</v>
      </c>
    </row>
    <row r="13" spans="1:27" x14ac:dyDescent="0.25">
      <c r="A13" s="243">
        <v>2420</v>
      </c>
      <c r="B13" s="209">
        <v>550</v>
      </c>
      <c r="C13" s="244" t="s">
        <v>50</v>
      </c>
      <c r="E13" s="263"/>
      <c r="F13" s="263">
        <v>0</v>
      </c>
      <c r="G13" s="263">
        <v>0</v>
      </c>
      <c r="H13" s="263"/>
      <c r="I13" s="263">
        <v>0</v>
      </c>
      <c r="J13" s="263">
        <v>234287</v>
      </c>
      <c r="K13" s="263"/>
      <c r="L13" s="263">
        <v>0</v>
      </c>
      <c r="M13" s="263">
        <v>14958030</v>
      </c>
      <c r="N13" s="263"/>
      <c r="O13" s="263">
        <v>0</v>
      </c>
      <c r="P13" s="263"/>
      <c r="Q13" s="263">
        <v>2069974</v>
      </c>
      <c r="R13" s="263"/>
      <c r="S13" s="263"/>
      <c r="T13" s="263">
        <v>24996</v>
      </c>
      <c r="U13" s="263">
        <v>0</v>
      </c>
      <c r="V13" s="263">
        <v>0</v>
      </c>
      <c r="W13" s="263"/>
      <c r="X13" s="263">
        <f t="shared" si="0"/>
        <v>17287287</v>
      </c>
      <c r="Y13" s="263"/>
      <c r="Z13" s="251">
        <v>21735</v>
      </c>
    </row>
    <row r="14" spans="1:27" x14ac:dyDescent="0.25">
      <c r="A14" s="243">
        <v>2740</v>
      </c>
      <c r="B14" s="209">
        <v>555</v>
      </c>
      <c r="C14" s="244" t="s">
        <v>105</v>
      </c>
      <c r="E14" s="263"/>
      <c r="F14" s="263">
        <v>0</v>
      </c>
      <c r="G14" s="263">
        <v>0</v>
      </c>
      <c r="H14" s="263"/>
      <c r="I14" s="263">
        <v>0</v>
      </c>
      <c r="J14" s="263">
        <v>123185</v>
      </c>
      <c r="K14" s="263"/>
      <c r="L14" s="263">
        <v>0</v>
      </c>
      <c r="M14" s="263">
        <v>0</v>
      </c>
      <c r="N14" s="263"/>
      <c r="O14" s="263">
        <v>0</v>
      </c>
      <c r="P14" s="263"/>
      <c r="Q14" s="263">
        <v>0</v>
      </c>
      <c r="R14" s="263"/>
      <c r="S14" s="263"/>
      <c r="T14" s="263">
        <v>0</v>
      </c>
      <c r="U14" s="263">
        <v>0</v>
      </c>
      <c r="V14" s="263">
        <v>0</v>
      </c>
      <c r="W14" s="263"/>
      <c r="X14" s="263">
        <f t="shared" si="0"/>
        <v>123185</v>
      </c>
      <c r="Y14" s="263"/>
      <c r="Z14" s="251">
        <v>7</v>
      </c>
    </row>
    <row r="15" spans="1:27" hidden="1" x14ac:dyDescent="0.25">
      <c r="A15" s="243">
        <v>2750</v>
      </c>
      <c r="B15" s="209"/>
      <c r="C15" s="244" t="s">
        <v>378</v>
      </c>
      <c r="E15" s="263"/>
      <c r="F15" s="263"/>
      <c r="G15" s="263"/>
      <c r="H15" s="263"/>
      <c r="I15" s="263"/>
      <c r="J15" s="263"/>
      <c r="K15" s="263"/>
      <c r="L15" s="263"/>
      <c r="M15" s="263">
        <v>0</v>
      </c>
      <c r="N15" s="263"/>
      <c r="O15" s="263"/>
      <c r="P15" s="263"/>
      <c r="Q15" s="263"/>
      <c r="R15" s="263"/>
      <c r="S15" s="263"/>
      <c r="T15" s="263"/>
      <c r="U15" s="263"/>
      <c r="V15" s="263"/>
      <c r="W15" s="263"/>
      <c r="X15" s="263">
        <f t="shared" si="0"/>
        <v>0</v>
      </c>
      <c r="Y15" s="263"/>
      <c r="Z15" s="226">
        <v>0</v>
      </c>
    </row>
    <row r="16" spans="1:27" hidden="1" x14ac:dyDescent="0.25">
      <c r="A16" s="243">
        <v>2810</v>
      </c>
      <c r="B16" s="209"/>
      <c r="C16" s="244" t="s">
        <v>379</v>
      </c>
      <c r="E16" s="263"/>
      <c r="F16" s="263"/>
      <c r="G16" s="263"/>
      <c r="H16" s="263"/>
      <c r="I16" s="263"/>
      <c r="J16" s="263"/>
      <c r="K16" s="263"/>
      <c r="L16" s="263"/>
      <c r="M16" s="263">
        <v>0</v>
      </c>
      <c r="N16" s="263"/>
      <c r="O16" s="263"/>
      <c r="P16" s="263"/>
      <c r="Q16" s="263"/>
      <c r="R16" s="263"/>
      <c r="S16" s="263"/>
      <c r="T16" s="263"/>
      <c r="U16" s="263"/>
      <c r="V16" s="263"/>
      <c r="W16" s="263"/>
      <c r="X16" s="263">
        <f t="shared" si="0"/>
        <v>0</v>
      </c>
      <c r="Y16" s="263"/>
      <c r="Z16" s="226">
        <v>0</v>
      </c>
    </row>
    <row r="17" spans="1:28" x14ac:dyDescent="0.25">
      <c r="A17" s="243">
        <v>2800</v>
      </c>
      <c r="B17" s="209">
        <v>560</v>
      </c>
      <c r="C17" s="244" t="s">
        <v>300</v>
      </c>
      <c r="E17" s="263"/>
      <c r="F17" s="263">
        <v>719946</v>
      </c>
      <c r="G17" s="263">
        <v>31071311</v>
      </c>
      <c r="H17" s="263"/>
      <c r="I17" s="263">
        <v>212387</v>
      </c>
      <c r="J17" s="263">
        <v>26966</v>
      </c>
      <c r="K17" s="263"/>
      <c r="L17" s="263">
        <v>1378607</v>
      </c>
      <c r="M17" s="263">
        <v>962906</v>
      </c>
      <c r="N17" s="263"/>
      <c r="O17" s="263">
        <v>0</v>
      </c>
      <c r="P17" s="263"/>
      <c r="Q17" s="263">
        <v>851159</v>
      </c>
      <c r="R17" s="263"/>
      <c r="S17" s="263"/>
      <c r="T17" s="263">
        <v>1289053</v>
      </c>
      <c r="U17" s="263">
        <v>135175</v>
      </c>
      <c r="V17" s="263">
        <v>62828</v>
      </c>
      <c r="W17" s="263"/>
      <c r="X17" s="263">
        <f t="shared" si="0"/>
        <v>36710338</v>
      </c>
      <c r="Y17" s="263"/>
      <c r="Z17" s="226">
        <v>23242</v>
      </c>
      <c r="AA17" s="245">
        <v>-2</v>
      </c>
      <c r="AB17" s="246" t="s">
        <v>398</v>
      </c>
    </row>
    <row r="18" spans="1:28" x14ac:dyDescent="0.25">
      <c r="B18" s="209"/>
      <c r="C18" s="219" t="s">
        <v>20</v>
      </c>
      <c r="E18" s="264"/>
      <c r="F18" s="264">
        <v>433537544</v>
      </c>
      <c r="G18" s="264">
        <v>313955538</v>
      </c>
      <c r="H18" s="264"/>
      <c r="I18" s="264">
        <v>82025871</v>
      </c>
      <c r="J18" s="264">
        <v>21342358</v>
      </c>
      <c r="K18" s="264"/>
      <c r="L18" s="264">
        <v>63349762</v>
      </c>
      <c r="M18" s="264">
        <v>26257968</v>
      </c>
      <c r="N18" s="264"/>
      <c r="O18" s="264">
        <v>0</v>
      </c>
      <c r="P18" s="264"/>
      <c r="Q18" s="264">
        <v>44389153</v>
      </c>
      <c r="R18" s="264"/>
      <c r="S18" s="264"/>
      <c r="T18" s="264">
        <v>19591142</v>
      </c>
      <c r="U18" s="264">
        <v>28958550</v>
      </c>
      <c r="V18" s="264">
        <v>10924747</v>
      </c>
      <c r="W18" s="264"/>
      <c r="X18" s="264">
        <f t="shared" si="0"/>
        <v>1044332633</v>
      </c>
      <c r="Y18" s="264"/>
      <c r="Z18" s="264">
        <v>255501</v>
      </c>
    </row>
    <row r="19" spans="1:28" x14ac:dyDescent="0.25">
      <c r="B19" s="158"/>
      <c r="E19" s="263"/>
      <c r="F19" s="263"/>
      <c r="G19" s="263"/>
      <c r="H19" s="263"/>
      <c r="I19" s="263"/>
      <c r="J19" s="263"/>
      <c r="K19" s="263"/>
      <c r="L19" s="263"/>
      <c r="M19" s="263"/>
      <c r="N19" s="263"/>
      <c r="O19" s="263"/>
      <c r="P19" s="263"/>
      <c r="Q19" s="263"/>
      <c r="R19" s="263"/>
      <c r="S19" s="263"/>
      <c r="T19" s="263"/>
      <c r="U19" s="263"/>
      <c r="V19" s="263"/>
      <c r="W19" s="263"/>
      <c r="X19" s="263"/>
      <c r="Y19" s="263"/>
      <c r="Z19" s="263"/>
    </row>
    <row r="20" spans="1:28" x14ac:dyDescent="0.25">
      <c r="B20" s="158"/>
      <c r="C20" s="208" t="s">
        <v>21</v>
      </c>
      <c r="E20" s="263"/>
      <c r="F20" s="263"/>
      <c r="G20" s="263"/>
      <c r="H20" s="263"/>
      <c r="I20" s="263"/>
      <c r="J20" s="263"/>
      <c r="K20" s="263"/>
      <c r="L20" s="263"/>
      <c r="M20" s="263"/>
      <c r="N20" s="263"/>
      <c r="O20" s="263"/>
      <c r="P20" s="263"/>
      <c r="Q20" s="263"/>
      <c r="R20" s="263"/>
      <c r="S20" s="263"/>
      <c r="T20" s="263"/>
      <c r="U20" s="263"/>
      <c r="V20" s="263"/>
      <c r="W20" s="263"/>
      <c r="X20" s="263"/>
      <c r="Y20" s="263"/>
      <c r="Z20" s="263"/>
    </row>
    <row r="21" spans="1:28" ht="13.8" x14ac:dyDescent="0.25">
      <c r="A21" s="243">
        <v>2594</v>
      </c>
      <c r="B21" s="247">
        <v>604</v>
      </c>
      <c r="C21" s="248" t="s">
        <v>380</v>
      </c>
      <c r="D21" s="248"/>
      <c r="E21" s="252"/>
      <c r="F21" s="252">
        <v>0</v>
      </c>
      <c r="G21" s="252">
        <v>8283043</v>
      </c>
      <c r="H21" s="252"/>
      <c r="I21" s="252">
        <v>0</v>
      </c>
      <c r="J21" s="252">
        <v>0</v>
      </c>
      <c r="K21" s="252"/>
      <c r="L21" s="252">
        <v>0</v>
      </c>
      <c r="M21" s="252">
        <v>997739</v>
      </c>
      <c r="N21" s="252"/>
      <c r="O21" s="252">
        <v>0</v>
      </c>
      <c r="P21" s="252"/>
      <c r="Q21" s="252">
        <v>892898</v>
      </c>
      <c r="R21" s="252"/>
      <c r="S21" s="252"/>
      <c r="T21" s="252">
        <v>933124</v>
      </c>
      <c r="U21" s="252">
        <v>2146559</v>
      </c>
      <c r="V21" s="252">
        <v>0</v>
      </c>
      <c r="W21" s="252"/>
      <c r="X21" s="252">
        <f t="shared" si="0"/>
        <v>13253363</v>
      </c>
      <c r="Y21" s="252"/>
      <c r="Z21" s="238">
        <v>8711</v>
      </c>
      <c r="AA21" s="214" t="s">
        <v>375</v>
      </c>
    </row>
    <row r="22" spans="1:28" ht="15" x14ac:dyDescent="0.25">
      <c r="A22" s="243">
        <v>2595</v>
      </c>
      <c r="B22" s="247">
        <v>600</v>
      </c>
      <c r="C22" s="249" t="s">
        <v>302</v>
      </c>
      <c r="D22" s="248"/>
      <c r="E22" s="252"/>
      <c r="F22" s="252">
        <v>45403463</v>
      </c>
      <c r="G22" s="252">
        <v>23428672</v>
      </c>
      <c r="H22" s="252"/>
      <c r="I22" s="252">
        <v>9683141</v>
      </c>
      <c r="J22" s="252">
        <v>2699047</v>
      </c>
      <c r="K22" s="252"/>
      <c r="L22" s="252">
        <v>0</v>
      </c>
      <c r="M22" s="252">
        <v>781538</v>
      </c>
      <c r="N22" s="252"/>
      <c r="O22" s="252">
        <v>0</v>
      </c>
      <c r="P22" s="252"/>
      <c r="Q22" s="252">
        <v>41579</v>
      </c>
      <c r="R22" s="252"/>
      <c r="S22" s="252"/>
      <c r="T22" s="252">
        <v>1195837</v>
      </c>
      <c r="U22" s="252">
        <v>2227217</v>
      </c>
      <c r="V22" s="252">
        <v>5264</v>
      </c>
      <c r="W22" s="252"/>
      <c r="X22" s="252">
        <f t="shared" si="0"/>
        <v>85465758</v>
      </c>
      <c r="Y22" s="252"/>
      <c r="Z22" s="238">
        <v>109755</v>
      </c>
      <c r="AA22" s="214" t="s">
        <v>375</v>
      </c>
    </row>
    <row r="23" spans="1:28" ht="15" x14ac:dyDescent="0.25">
      <c r="A23" s="243">
        <v>2596</v>
      </c>
      <c r="B23" s="247">
        <v>602</v>
      </c>
      <c r="C23" s="249" t="s">
        <v>303</v>
      </c>
      <c r="D23" s="248"/>
      <c r="E23" s="252"/>
      <c r="F23" s="252">
        <v>0</v>
      </c>
      <c r="G23" s="252">
        <v>27585670</v>
      </c>
      <c r="H23" s="252"/>
      <c r="I23" s="252">
        <v>154369</v>
      </c>
      <c r="J23" s="252">
        <v>864787</v>
      </c>
      <c r="K23" s="252"/>
      <c r="L23" s="252">
        <v>0</v>
      </c>
      <c r="M23" s="252">
        <v>0</v>
      </c>
      <c r="N23" s="252"/>
      <c r="O23" s="252">
        <v>0</v>
      </c>
      <c r="P23" s="252"/>
      <c r="Q23" s="252">
        <v>0</v>
      </c>
      <c r="R23" s="252"/>
      <c r="S23" s="252"/>
      <c r="T23" s="252">
        <v>0</v>
      </c>
      <c r="U23" s="252">
        <v>0</v>
      </c>
      <c r="V23" s="252">
        <v>0</v>
      </c>
      <c r="W23" s="252"/>
      <c r="X23" s="252">
        <f t="shared" si="0"/>
        <v>28604826</v>
      </c>
      <c r="Y23" s="252"/>
      <c r="Z23" s="238">
        <v>21338</v>
      </c>
      <c r="AA23" s="214" t="s">
        <v>375</v>
      </c>
    </row>
    <row r="24" spans="1:28" x14ac:dyDescent="0.25">
      <c r="A24" s="243">
        <v>2630</v>
      </c>
      <c r="B24" s="209">
        <v>610</v>
      </c>
      <c r="C24" s="220" t="s">
        <v>47</v>
      </c>
      <c r="E24" s="265"/>
      <c r="F24" s="265">
        <v>19517368</v>
      </c>
      <c r="G24" s="265">
        <v>7137402</v>
      </c>
      <c r="H24" s="265"/>
      <c r="I24" s="265">
        <v>6166183</v>
      </c>
      <c r="J24" s="265">
        <v>2087546</v>
      </c>
      <c r="K24" s="265"/>
      <c r="L24" s="265">
        <v>10259720</v>
      </c>
      <c r="M24" s="253">
        <v>20031849</v>
      </c>
      <c r="N24" s="265"/>
      <c r="O24" s="265">
        <v>0</v>
      </c>
      <c r="P24" s="265"/>
      <c r="Q24" s="265">
        <v>3722353</v>
      </c>
      <c r="R24" s="265"/>
      <c r="S24" s="265"/>
      <c r="T24" s="265">
        <v>4544017</v>
      </c>
      <c r="U24" s="265">
        <v>559844</v>
      </c>
      <c r="V24" s="265">
        <v>4669845</v>
      </c>
      <c r="W24" s="265"/>
      <c r="X24" s="265">
        <f t="shared" si="0"/>
        <v>78696127</v>
      </c>
      <c r="Y24" s="265"/>
      <c r="Z24" s="231">
        <v>74445</v>
      </c>
    </row>
    <row r="25" spans="1:28" x14ac:dyDescent="0.25">
      <c r="B25" s="158"/>
      <c r="C25" s="219" t="s">
        <v>22</v>
      </c>
      <c r="E25" s="265"/>
      <c r="F25" s="265">
        <v>64920831</v>
      </c>
      <c r="G25" s="265">
        <v>66434787</v>
      </c>
      <c r="H25" s="265"/>
      <c r="I25" s="265">
        <v>16003693</v>
      </c>
      <c r="J25" s="265">
        <v>5651380</v>
      </c>
      <c r="K25" s="265"/>
      <c r="L25" s="265">
        <v>10259720</v>
      </c>
      <c r="M25" s="265">
        <v>21811126</v>
      </c>
      <c r="N25" s="265"/>
      <c r="O25" s="265">
        <v>0</v>
      </c>
      <c r="P25" s="265"/>
      <c r="Q25" s="265">
        <v>4656830</v>
      </c>
      <c r="R25" s="265"/>
      <c r="S25" s="265"/>
      <c r="T25" s="265">
        <v>6672978</v>
      </c>
      <c r="U25" s="265">
        <v>4933620</v>
      </c>
      <c r="V25" s="265">
        <v>4675109</v>
      </c>
      <c r="W25" s="265">
        <v>0</v>
      </c>
      <c r="X25" s="265">
        <f t="shared" si="0"/>
        <v>206020074</v>
      </c>
      <c r="Y25" s="263"/>
      <c r="Z25" s="265">
        <v>214249</v>
      </c>
    </row>
    <row r="26" spans="1:28" x14ac:dyDescent="0.25">
      <c r="E26" s="263"/>
      <c r="F26" s="263"/>
      <c r="G26" s="263"/>
      <c r="H26" s="263"/>
      <c r="I26" s="263"/>
      <c r="J26" s="263"/>
      <c r="K26" s="263"/>
      <c r="L26" s="263"/>
      <c r="M26" s="263"/>
      <c r="N26" s="263"/>
      <c r="O26" s="263"/>
      <c r="P26" s="263"/>
      <c r="Q26" s="263"/>
      <c r="R26" s="263"/>
      <c r="S26" s="263"/>
      <c r="T26" s="263"/>
      <c r="U26" s="263"/>
      <c r="V26" s="263"/>
      <c r="W26" s="263"/>
      <c r="X26" s="263"/>
      <c r="Y26" s="263"/>
      <c r="Z26" s="263"/>
    </row>
    <row r="27" spans="1:28" x14ac:dyDescent="0.25">
      <c r="C27" s="244" t="s">
        <v>324</v>
      </c>
      <c r="E27" s="263"/>
      <c r="F27" s="263">
        <v>368616713</v>
      </c>
      <c r="G27" s="263">
        <v>247520751</v>
      </c>
      <c r="H27" s="263"/>
      <c r="I27" s="263">
        <v>66022178</v>
      </c>
      <c r="J27" s="263">
        <v>15690978</v>
      </c>
      <c r="K27" s="263"/>
      <c r="L27" s="263">
        <v>53090042</v>
      </c>
      <c r="M27" s="263">
        <v>4446842</v>
      </c>
      <c r="N27" s="263"/>
      <c r="O27" s="263">
        <v>0</v>
      </c>
      <c r="P27" s="263"/>
      <c r="Q27" s="263">
        <v>39732323</v>
      </c>
      <c r="R27" s="263"/>
      <c r="S27" s="263"/>
      <c r="T27" s="263">
        <v>12918164</v>
      </c>
      <c r="U27" s="263">
        <v>24024930</v>
      </c>
      <c r="V27" s="263">
        <v>6249638</v>
      </c>
      <c r="W27" s="263"/>
      <c r="X27" s="263">
        <f t="shared" si="0"/>
        <v>838312559</v>
      </c>
      <c r="Y27" s="263"/>
      <c r="Z27" s="263">
        <v>41252</v>
      </c>
    </row>
    <row r="28" spans="1:28" x14ac:dyDescent="0.25">
      <c r="C28" s="220"/>
      <c r="E28" s="263"/>
      <c r="F28" s="263"/>
      <c r="G28" s="263"/>
      <c r="H28" s="263"/>
      <c r="I28" s="263"/>
      <c r="J28" s="263"/>
      <c r="K28" s="263"/>
      <c r="L28" s="263"/>
      <c r="M28" s="263"/>
      <c r="N28" s="263"/>
      <c r="O28" s="263"/>
      <c r="P28" s="263"/>
      <c r="Q28" s="263"/>
      <c r="R28" s="263"/>
      <c r="S28" s="263"/>
      <c r="T28" s="263"/>
      <c r="U28" s="263"/>
      <c r="V28" s="263"/>
      <c r="W28" s="263"/>
      <c r="X28" s="263">
        <f t="shared" si="0"/>
        <v>0</v>
      </c>
      <c r="Y28" s="263"/>
      <c r="Z28" s="226">
        <v>0</v>
      </c>
    </row>
    <row r="29" spans="1:28" x14ac:dyDescent="0.25">
      <c r="A29" s="243">
        <v>2980</v>
      </c>
      <c r="C29" s="220" t="s">
        <v>322</v>
      </c>
      <c r="E29" s="263"/>
      <c r="F29" s="263">
        <v>1045543432</v>
      </c>
      <c r="G29" s="263">
        <v>642644226</v>
      </c>
      <c r="H29" s="263"/>
      <c r="I29" s="263">
        <v>173905727</v>
      </c>
      <c r="J29" s="263">
        <v>41840117</v>
      </c>
      <c r="K29" s="263"/>
      <c r="L29" s="263">
        <v>150615557</v>
      </c>
      <c r="M29" s="263">
        <v>28609515</v>
      </c>
      <c r="N29" s="263"/>
      <c r="O29" s="263">
        <v>21637567</v>
      </c>
      <c r="P29" s="263"/>
      <c r="Q29" s="263">
        <v>26090923</v>
      </c>
      <c r="R29" s="263"/>
      <c r="S29" s="263"/>
      <c r="T29" s="263">
        <v>24838468</v>
      </c>
      <c r="U29" s="263">
        <v>75954220</v>
      </c>
      <c r="V29" s="263">
        <v>31842309</v>
      </c>
      <c r="W29" s="263">
        <v>-158131248</v>
      </c>
      <c r="X29" s="263">
        <f t="shared" si="0"/>
        <v>2263522061</v>
      </c>
      <c r="Y29" s="263"/>
      <c r="Z29" s="254">
        <v>2226719</v>
      </c>
    </row>
    <row r="30" spans="1:28" x14ac:dyDescent="0.25">
      <c r="A30" s="243">
        <v>2990</v>
      </c>
      <c r="C30" s="220" t="s">
        <v>189</v>
      </c>
      <c r="E30" s="263"/>
      <c r="F30" s="263">
        <v>-53096</v>
      </c>
      <c r="G30" s="263">
        <v>0</v>
      </c>
      <c r="H30" s="263"/>
      <c r="I30" s="263">
        <v>0</v>
      </c>
      <c r="J30" s="263">
        <v>0</v>
      </c>
      <c r="K30" s="263"/>
      <c r="L30" s="263">
        <v>0</v>
      </c>
      <c r="M30" s="263">
        <v>2609</v>
      </c>
      <c r="N30" s="263"/>
      <c r="O30" s="263">
        <v>-21637567</v>
      </c>
      <c r="P30" s="263"/>
      <c r="Q30" s="263">
        <v>108462</v>
      </c>
      <c r="R30" s="263"/>
      <c r="S30" s="263"/>
      <c r="T30" s="263">
        <v>0</v>
      </c>
      <c r="U30" s="263">
        <v>-42399</v>
      </c>
      <c r="V30" s="263">
        <v>631199</v>
      </c>
      <c r="W30" s="265">
        <v>158131248</v>
      </c>
      <c r="X30" s="263">
        <f t="shared" si="0"/>
        <v>-20990792</v>
      </c>
      <c r="Y30" s="263"/>
      <c r="Z30" s="254">
        <v>0</v>
      </c>
    </row>
    <row r="31" spans="1:28" ht="13.8" thickBot="1" x14ac:dyDescent="0.3">
      <c r="A31" s="243">
        <v>3000</v>
      </c>
      <c r="C31" s="220" t="s">
        <v>323</v>
      </c>
      <c r="E31" s="266"/>
      <c r="F31" s="266">
        <v>1414107049</v>
      </c>
      <c r="G31" s="266">
        <v>890164977</v>
      </c>
      <c r="H31" s="266">
        <v>0</v>
      </c>
      <c r="I31" s="266">
        <v>239927905</v>
      </c>
      <c r="J31" s="266">
        <v>57531095</v>
      </c>
      <c r="K31" s="266"/>
      <c r="L31" s="266">
        <v>203705599</v>
      </c>
      <c r="M31" s="266">
        <v>33058966</v>
      </c>
      <c r="N31" s="266"/>
      <c r="O31" s="266">
        <v>0</v>
      </c>
      <c r="P31" s="266"/>
      <c r="Q31" s="266">
        <v>65931708</v>
      </c>
      <c r="R31" s="266"/>
      <c r="S31" s="266"/>
      <c r="T31" s="266">
        <v>37756632</v>
      </c>
      <c r="U31" s="266">
        <v>99936751</v>
      </c>
      <c r="V31" s="266">
        <v>38723146</v>
      </c>
      <c r="W31" s="266">
        <v>0</v>
      </c>
      <c r="X31" s="266">
        <f t="shared" si="0"/>
        <v>3080843828</v>
      </c>
      <c r="Y31" s="266"/>
      <c r="Z31" s="266">
        <v>2267971</v>
      </c>
    </row>
    <row r="32" spans="1:28" ht="13.8" thickTop="1" x14ac:dyDescent="0.25">
      <c r="E32" s="262"/>
      <c r="F32" s="262"/>
      <c r="G32" s="262"/>
      <c r="H32" s="262"/>
      <c r="I32" s="262"/>
      <c r="J32" s="262"/>
      <c r="K32" s="262"/>
      <c r="L32" s="262"/>
      <c r="M32" s="262"/>
      <c r="N32" s="262"/>
      <c r="O32" s="262"/>
      <c r="P32" s="262"/>
      <c r="Q32" s="262"/>
      <c r="R32" s="262"/>
      <c r="S32" s="262"/>
      <c r="T32" s="262"/>
      <c r="U32" s="262"/>
      <c r="V32" s="262"/>
      <c r="W32" s="262"/>
      <c r="X32" s="262"/>
      <c r="Y32" s="262"/>
      <c r="Z32" s="262"/>
    </row>
    <row r="33" spans="5:26" x14ac:dyDescent="0.25">
      <c r="E33" s="97" t="str">
        <f>IF(E31='PYExhD Data'!E41,"OK","Problem")</f>
        <v>OK</v>
      </c>
      <c r="F33" s="97" t="str">
        <f>IF(F31='PYExhD Data'!F41,"OK","Problem")</f>
        <v>OK</v>
      </c>
      <c r="G33" s="97" t="str">
        <f>IF(G31='PYExhD Data'!G41,"OK","Problem")</f>
        <v>OK</v>
      </c>
      <c r="H33" s="97" t="str">
        <f>IF(H31='PYExhD Data'!H41,"OK","Problem")</f>
        <v>OK</v>
      </c>
      <c r="I33" s="97" t="str">
        <f>IF(I31='PYExhD Data'!I41,"OK","Problem")</f>
        <v>OK</v>
      </c>
      <c r="J33" s="97" t="str">
        <f>IF(J31='PYExhD Data'!J41,"OK","Problem")</f>
        <v>OK</v>
      </c>
      <c r="K33" s="97" t="str">
        <f>IF(K31='PYExhD Data'!K41,"OK","Problem")</f>
        <v>OK</v>
      </c>
      <c r="L33" s="97" t="str">
        <f>IF(L31='PYExhD Data'!L41,"OK","Problem")</f>
        <v>OK</v>
      </c>
      <c r="M33" s="97" t="str">
        <f>IF(M31='PYExhD Data'!M41,"OK","Problem")</f>
        <v>OK</v>
      </c>
      <c r="N33" s="97" t="str">
        <f>IF(N31='PYExhD Data'!N41,"OK","Problem")</f>
        <v>OK</v>
      </c>
      <c r="O33" s="97" t="str">
        <f>IF(O31='PYExhD Data'!O41,"OK","Problem")</f>
        <v>OK</v>
      </c>
      <c r="P33" s="97" t="str">
        <f>IF(P31='PYExhD Data'!P41,"OK","Problem")</f>
        <v>OK</v>
      </c>
      <c r="Q33" s="97" t="str">
        <f>IF(Q31='PYExhD Data'!Q41,"OK","Problem")</f>
        <v>OK</v>
      </c>
      <c r="R33" s="97" t="str">
        <f>IF(R31='PYExhD Data'!R41,"OK","Problem")</f>
        <v>OK</v>
      </c>
      <c r="S33" s="97" t="str">
        <f>IF(S31='PYExhD Data'!S41,"OK","Problem")</f>
        <v>OK</v>
      </c>
      <c r="T33" s="97" t="str">
        <f>IF(T31='PYExhD Data'!T41,"OK","Problem")</f>
        <v>OK</v>
      </c>
      <c r="U33" s="97" t="str">
        <f>IF(U31='PYExhD Data'!U41,"OK","Problem")</f>
        <v>OK</v>
      </c>
      <c r="V33" s="97" t="str">
        <f>IF(V31='PYExhD Data'!V41,"OK","Problem")</f>
        <v>OK</v>
      </c>
      <c r="W33" s="97" t="str">
        <f>IF(W31='PYExhD Data'!W41,"OK","Problem")</f>
        <v>OK</v>
      </c>
      <c r="X33" s="97" t="str">
        <f>IF(X31='PYExhD Data'!X41,"OK","Problem")</f>
        <v>OK</v>
      </c>
      <c r="Y33" s="97"/>
      <c r="Z33" s="97" t="str">
        <f>IF(Z31='PYExhD Data'!AE41,"OK","Problem")</f>
        <v>OK</v>
      </c>
    </row>
  </sheetData>
  <sheetProtection algorithmName="SHA-512" hashValue="EKBOHPY4p+am8QzjGPGEsHjnmZzOR772bMZ1qxplu8wnQq5PLKxk8Xl6ImBWmdM4GdAV0ZaLI2dAAoBVlcoU1Q==" saltValue="YV4akPt7TiKc+ZtKkfv0Bg==" spinCount="100000" sheet="1" autoFilter="0"/>
  <pageMargins left="0.7" right="0.7" top="0.75" bottom="0.75" header="0.3" footer="0.3"/>
  <ignoredErrors>
    <ignoredError sqref="X7:X33 E33:V3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6"/>
  <sheetViews>
    <sheetView showGridLines="0" topLeftCell="A4" zoomScaleNormal="100" workbookViewId="0">
      <selection activeCell="K16" sqref="K16"/>
    </sheetView>
  </sheetViews>
  <sheetFormatPr defaultRowHeight="13.2" x14ac:dyDescent="0.25"/>
  <cols>
    <col min="1" max="1" width="12.6640625" customWidth="1"/>
    <col min="2" max="2" width="2.6640625" customWidth="1"/>
    <col min="3" max="3" width="28.6640625" customWidth="1"/>
    <col min="4" max="4" width="36.5546875" customWidth="1"/>
    <col min="5" max="5" width="12.6640625" customWidth="1"/>
  </cols>
  <sheetData>
    <row r="1" spans="1:5" ht="5.0999999999999996" customHeight="1" x14ac:dyDescent="0.25"/>
    <row r="2" spans="1:5" ht="13.8" x14ac:dyDescent="0.25">
      <c r="A2" s="316" t="s">
        <v>144</v>
      </c>
      <c r="B2" s="316"/>
      <c r="C2" s="316"/>
      <c r="D2" s="316"/>
      <c r="E2" s="316"/>
    </row>
    <row r="3" spans="1:5" ht="13.8" x14ac:dyDescent="0.25">
      <c r="A3" s="316" t="s">
        <v>100</v>
      </c>
      <c r="B3" s="316"/>
      <c r="C3" s="316"/>
      <c r="D3" s="316"/>
      <c r="E3" s="316"/>
    </row>
    <row r="4" spans="1:5" ht="7.5" customHeight="1" x14ac:dyDescent="0.25">
      <c r="A4" s="60"/>
      <c r="B4" s="60"/>
      <c r="C4" s="60"/>
      <c r="D4" s="60"/>
      <c r="E4" s="60"/>
    </row>
    <row r="5" spans="1:5" x14ac:dyDescent="0.25">
      <c r="B5" s="26" t="s">
        <v>250</v>
      </c>
    </row>
    <row r="6" spans="1:5" x14ac:dyDescent="0.25">
      <c r="C6" s="63" t="s">
        <v>237</v>
      </c>
      <c r="D6" s="99" t="s">
        <v>158</v>
      </c>
    </row>
    <row r="7" spans="1:5" x14ac:dyDescent="0.25">
      <c r="C7" s="27" t="s">
        <v>153</v>
      </c>
      <c r="D7" t="str">
        <f>VLOOKUP(D6,'Net Assets'!A5:C22,2,FALSE)</f>
        <v>UNC System Office</v>
      </c>
    </row>
    <row r="8" spans="1:5" ht="6" customHeight="1" x14ac:dyDescent="0.25">
      <c r="B8" s="26"/>
    </row>
    <row r="9" spans="1:5" x14ac:dyDescent="0.25">
      <c r="B9" s="26" t="s">
        <v>191</v>
      </c>
    </row>
    <row r="10" spans="1:5" x14ac:dyDescent="0.25">
      <c r="C10" s="27" t="s">
        <v>141</v>
      </c>
      <c r="D10" s="52"/>
    </row>
    <row r="11" spans="1:5" ht="5.0999999999999996" customHeight="1" x14ac:dyDescent="0.25">
      <c r="C11" s="27"/>
      <c r="D11" s="27"/>
    </row>
    <row r="12" spans="1:5" x14ac:dyDescent="0.25">
      <c r="C12" s="27" t="s">
        <v>142</v>
      </c>
      <c r="D12" s="61"/>
    </row>
    <row r="13" spans="1:5" ht="5.0999999999999996" customHeight="1" x14ac:dyDescent="0.25">
      <c r="C13" s="27"/>
      <c r="D13" s="27"/>
    </row>
    <row r="14" spans="1:5" x14ac:dyDescent="0.25">
      <c r="C14" s="27" t="s">
        <v>143</v>
      </c>
      <c r="D14" s="52"/>
    </row>
    <row r="15" spans="1:5" ht="6" customHeight="1" x14ac:dyDescent="0.25"/>
    <row r="16" spans="1:5" x14ac:dyDescent="0.25">
      <c r="B16" s="26" t="s">
        <v>192</v>
      </c>
    </row>
    <row r="17" spans="3:4" x14ac:dyDescent="0.25">
      <c r="C17" t="s">
        <v>95</v>
      </c>
      <c r="D17" s="52" t="s">
        <v>210</v>
      </c>
    </row>
    <row r="18" spans="3:4" ht="5.0999999999999996" customHeight="1" x14ac:dyDescent="0.25"/>
    <row r="19" spans="3:4" x14ac:dyDescent="0.25">
      <c r="C19" t="s">
        <v>96</v>
      </c>
      <c r="D19" s="61" t="s">
        <v>193</v>
      </c>
    </row>
    <row r="20" spans="3:4" ht="5.0999999999999996" customHeight="1" x14ac:dyDescent="0.25">
      <c r="D20" s="51" t="s">
        <v>118</v>
      </c>
    </row>
    <row r="21" spans="3:4" ht="12.75" customHeight="1" x14ac:dyDescent="0.25">
      <c r="C21" t="s">
        <v>97</v>
      </c>
      <c r="D21" s="52"/>
    </row>
    <row r="22" spans="3:4" ht="5.0999999999999996" customHeight="1" x14ac:dyDescent="0.25"/>
    <row r="23" spans="3:4" x14ac:dyDescent="0.25">
      <c r="C23" t="s">
        <v>98</v>
      </c>
      <c r="D23" s="52"/>
    </row>
    <row r="24" spans="3:4" ht="5.0999999999999996" customHeight="1" x14ac:dyDescent="0.25"/>
    <row r="25" spans="3:4" x14ac:dyDescent="0.25">
      <c r="C25" t="s">
        <v>99</v>
      </c>
      <c r="D25" s="61"/>
    </row>
    <row r="26" spans="3:4" ht="5.0999999999999996" customHeight="1" x14ac:dyDescent="0.25"/>
    <row r="27" spans="3:4" x14ac:dyDescent="0.25">
      <c r="C27" s="317" t="s">
        <v>101</v>
      </c>
      <c r="D27" s="317"/>
    </row>
    <row r="28" spans="3:4" ht="6.9" customHeight="1" x14ac:dyDescent="0.25">
      <c r="C28" s="29"/>
      <c r="D28" s="29"/>
    </row>
    <row r="29" spans="3:4" x14ac:dyDescent="0.25">
      <c r="C29" s="62" t="s">
        <v>145</v>
      </c>
      <c r="D29" s="29"/>
    </row>
    <row r="30" spans="3:4" x14ac:dyDescent="0.25">
      <c r="C30" s="63" t="s">
        <v>146</v>
      </c>
      <c r="D30" s="29"/>
    </row>
    <row r="31" spans="3:4" x14ac:dyDescent="0.25">
      <c r="C31" t="s">
        <v>147</v>
      </c>
    </row>
    <row r="32" spans="3:4" x14ac:dyDescent="0.25">
      <c r="C32" t="s">
        <v>148</v>
      </c>
    </row>
    <row r="33" spans="3:5" ht="13.8" thickBot="1" x14ac:dyDescent="0.3">
      <c r="C33" t="s">
        <v>149</v>
      </c>
    </row>
    <row r="34" spans="3:5" ht="13.8" thickBot="1" x14ac:dyDescent="0.3">
      <c r="C34" s="100" t="s">
        <v>445</v>
      </c>
      <c r="D34" s="133"/>
      <c r="E34" s="134"/>
    </row>
    <row r="35" spans="3:5" x14ac:dyDescent="0.25">
      <c r="C35" s="196" t="s">
        <v>455</v>
      </c>
    </row>
    <row r="36" spans="3:5" x14ac:dyDescent="0.25">
      <c r="C36" s="196" t="s">
        <v>456</v>
      </c>
    </row>
  </sheetData>
  <sheetProtection algorithmName="SHA-512" hashValue="JvW6HsSfcl0tT/xmjQWleQdMpo8AWeUaY8uC/fpJps1IpRkzPj6cY3jLIYBsEH2w0/a+k3KEgGg6utevnEAWdQ==" saltValue="tzyr8Lg83YbcAlYSRhKAjw==" spinCount="100000" sheet="1" autoFilter="0"/>
  <mergeCells count="3">
    <mergeCell ref="A2:E2"/>
    <mergeCell ref="A3:E3"/>
    <mergeCell ref="C27:D27"/>
  </mergeCells>
  <phoneticPr fontId="0" type="noConversion"/>
  <dataValidations count="1">
    <dataValidation type="list" allowBlank="1" showInputMessage="1" showErrorMessage="1" sqref="D6" xr:uid="{00000000-0002-0000-0100-000000000000}">
      <formula1>Number</formula1>
    </dataValidation>
  </dataValidations>
  <pageMargins left="0.25" right="0.25" top="1" bottom="1" header="0.5" footer="0.2"/>
  <pageSetup scale="91" orientation="portrait" r:id="rId1"/>
  <headerFooter alignWithMargins="0">
    <oddFooter>&amp;L&amp;F &amp;A&amp;C&amp;P of &amp;N&amp;R&amp;D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76"/>
  <sheetViews>
    <sheetView topLeftCell="A43" zoomScaleNormal="100" workbookViewId="0">
      <selection activeCell="B64" sqref="B64"/>
    </sheetView>
  </sheetViews>
  <sheetFormatPr defaultRowHeight="13.2" x14ac:dyDescent="0.25"/>
  <cols>
    <col min="1" max="1" width="3.6640625" customWidth="1"/>
    <col min="2" max="2" width="40.88671875" customWidth="1"/>
    <col min="3" max="3" width="1.33203125" customWidth="1"/>
    <col min="4" max="4" width="13.6640625" customWidth="1"/>
    <col min="5" max="5" width="1.33203125" customWidth="1"/>
    <col min="6" max="6" width="13.6640625" customWidth="1"/>
    <col min="7" max="7" width="1.33203125" customWidth="1"/>
    <col min="8" max="8" width="12.6640625" customWidth="1"/>
    <col min="9" max="9" width="1.33203125" customWidth="1"/>
    <col min="10" max="10" width="12.6640625" customWidth="1"/>
    <col min="11" max="11" width="1.33203125" customWidth="1"/>
    <col min="12" max="12" width="12.6640625" customWidth="1"/>
    <col min="13" max="13" width="1.33203125" customWidth="1"/>
    <col min="14" max="14" width="13.6640625" customWidth="1"/>
  </cols>
  <sheetData>
    <row r="1" spans="1:14" ht="12.75" customHeight="1" x14ac:dyDescent="0.25">
      <c r="A1" s="1" t="str">
        <f>CONCATENATE(Info!D7," Foundations")</f>
        <v>UNC System Office Foundations</v>
      </c>
      <c r="N1" s="34" t="s">
        <v>58</v>
      </c>
    </row>
    <row r="2" spans="1:14" ht="12.75" customHeight="1" x14ac:dyDescent="0.25">
      <c r="A2" s="1" t="s">
        <v>85</v>
      </c>
    </row>
    <row r="3" spans="1:14" ht="12.75" customHeight="1" x14ac:dyDescent="0.25">
      <c r="A3" s="198" t="s">
        <v>446</v>
      </c>
    </row>
    <row r="4" spans="1:14" ht="8.1" customHeight="1" x14ac:dyDescent="0.25">
      <c r="B4" s="13"/>
    </row>
    <row r="5" spans="1:14" ht="11.85" customHeight="1" x14ac:dyDescent="0.25">
      <c r="B5" s="13"/>
      <c r="D5" s="318" t="str">
        <f>Info!D17</f>
        <v>Name of Foundation</v>
      </c>
      <c r="F5" s="318" t="str">
        <f>Info!D19</f>
        <v xml:space="preserve"> </v>
      </c>
      <c r="H5" s="318">
        <f>Info!D21</f>
        <v>0</v>
      </c>
      <c r="J5" s="318">
        <f>Info!D23</f>
        <v>0</v>
      </c>
      <c r="L5" s="318">
        <f>Info!D25</f>
        <v>0</v>
      </c>
    </row>
    <row r="6" spans="1:14" ht="11.85" customHeight="1" x14ac:dyDescent="0.25">
      <c r="D6" s="318"/>
      <c r="E6" s="35"/>
      <c r="F6" s="318"/>
      <c r="G6" s="36"/>
      <c r="H6" s="318"/>
      <c r="I6" s="36"/>
      <c r="J6" s="318"/>
      <c r="K6" s="36"/>
      <c r="L6" s="318"/>
      <c r="M6" s="36"/>
      <c r="N6" s="36"/>
    </row>
    <row r="7" spans="1:14" ht="11.85" customHeight="1" x14ac:dyDescent="0.25">
      <c r="D7" s="319"/>
      <c r="E7" s="35"/>
      <c r="F7" s="319"/>
      <c r="G7" s="36"/>
      <c r="H7" s="319"/>
      <c r="I7" s="36"/>
      <c r="J7" s="319"/>
      <c r="K7" s="36"/>
      <c r="L7" s="319"/>
      <c r="M7" s="36"/>
      <c r="N7" s="45" t="s">
        <v>7</v>
      </c>
    </row>
    <row r="8" spans="1:14" x14ac:dyDescent="0.25">
      <c r="A8" s="78"/>
      <c r="B8" s="79" t="s">
        <v>3</v>
      </c>
      <c r="C8" s="78"/>
      <c r="D8" s="78"/>
      <c r="E8" s="78"/>
      <c r="F8" s="78"/>
      <c r="G8" s="78"/>
      <c r="H8" s="78"/>
      <c r="I8" s="78"/>
      <c r="J8" s="78"/>
      <c r="K8" s="78"/>
      <c r="L8" s="78"/>
      <c r="M8" s="78"/>
      <c r="N8" s="78"/>
    </row>
    <row r="9" spans="1:14" ht="11.85" customHeight="1" x14ac:dyDescent="0.25">
      <c r="A9" s="80">
        <v>100</v>
      </c>
      <c r="B9" s="78" t="s">
        <v>0</v>
      </c>
      <c r="C9" s="78"/>
      <c r="D9" s="81">
        <v>0</v>
      </c>
      <c r="E9" s="78"/>
      <c r="F9" s="81">
        <v>0</v>
      </c>
      <c r="G9" s="82"/>
      <c r="H9" s="81">
        <v>0</v>
      </c>
      <c r="I9" s="82"/>
      <c r="J9" s="81">
        <v>0</v>
      </c>
      <c r="K9" s="82"/>
      <c r="L9" s="81">
        <v>0</v>
      </c>
      <c r="M9" s="82"/>
      <c r="N9" s="82">
        <f>D9+F9+H9+J9+L9</f>
        <v>0</v>
      </c>
    </row>
    <row r="10" spans="1:14" ht="11.85" customHeight="1" x14ac:dyDescent="0.25">
      <c r="A10" s="80" t="s">
        <v>77</v>
      </c>
      <c r="B10" s="78" t="s">
        <v>1</v>
      </c>
      <c r="C10" s="78"/>
      <c r="D10" s="83">
        <v>0</v>
      </c>
      <c r="E10" s="78"/>
      <c r="F10" s="83">
        <v>0</v>
      </c>
      <c r="G10" s="84"/>
      <c r="H10" s="83">
        <v>0</v>
      </c>
      <c r="I10" s="84"/>
      <c r="J10" s="83">
        <v>0</v>
      </c>
      <c r="K10" s="84"/>
      <c r="L10" s="83">
        <v>0</v>
      </c>
      <c r="M10" s="84"/>
      <c r="N10" s="84">
        <f>D10+F10+H10+J10+L10</f>
        <v>0</v>
      </c>
    </row>
    <row r="11" spans="1:14" ht="11.85" customHeight="1" x14ac:dyDescent="0.25">
      <c r="A11" s="80">
        <v>105</v>
      </c>
      <c r="B11" s="78" t="s">
        <v>68</v>
      </c>
      <c r="C11" s="78"/>
      <c r="D11" s="83">
        <v>0</v>
      </c>
      <c r="E11" s="78"/>
      <c r="F11" s="83">
        <v>0</v>
      </c>
      <c r="G11" s="84"/>
      <c r="H11" s="83">
        <v>0</v>
      </c>
      <c r="I11" s="84"/>
      <c r="J11" s="83">
        <v>0</v>
      </c>
      <c r="K11" s="84"/>
      <c r="L11" s="83">
        <v>0</v>
      </c>
      <c r="M11" s="84"/>
      <c r="N11" s="84">
        <f>D11+F11+H11+J11+L11</f>
        <v>0</v>
      </c>
    </row>
    <row r="12" spans="1:14" ht="11.85" customHeight="1" x14ac:dyDescent="0.25">
      <c r="A12" s="80">
        <v>105</v>
      </c>
      <c r="B12" s="78" t="s">
        <v>4</v>
      </c>
      <c r="C12" s="78"/>
      <c r="D12" s="83">
        <v>0</v>
      </c>
      <c r="E12" s="78"/>
      <c r="F12" s="83">
        <v>0</v>
      </c>
      <c r="G12" s="84"/>
      <c r="H12" s="83">
        <v>0</v>
      </c>
      <c r="I12" s="84"/>
      <c r="J12" s="83">
        <v>0</v>
      </c>
      <c r="K12" s="84"/>
      <c r="L12" s="83">
        <v>0</v>
      </c>
      <c r="M12" s="84"/>
      <c r="N12" s="84">
        <f>D12+F12+H12+J12+L12</f>
        <v>0</v>
      </c>
    </row>
    <row r="13" spans="1:14" ht="11.85" customHeight="1" x14ac:dyDescent="0.25">
      <c r="A13" s="80">
        <v>105</v>
      </c>
      <c r="B13" s="78" t="s">
        <v>72</v>
      </c>
      <c r="C13" s="78"/>
      <c r="D13" s="83">
        <v>0</v>
      </c>
      <c r="E13" s="78"/>
      <c r="F13" s="83">
        <v>0</v>
      </c>
      <c r="G13" s="84"/>
      <c r="H13" s="83">
        <v>0</v>
      </c>
      <c r="I13" s="84"/>
      <c r="J13" s="83">
        <v>0</v>
      </c>
      <c r="K13" s="84"/>
      <c r="L13" s="83">
        <v>0</v>
      </c>
      <c r="M13" s="84"/>
      <c r="N13" s="84">
        <f t="shared" ref="N13:N27" si="0">D13+F13+H13+J13+L13</f>
        <v>0</v>
      </c>
    </row>
    <row r="14" spans="1:14" ht="11.85" customHeight="1" x14ac:dyDescent="0.25">
      <c r="A14" s="80">
        <v>105</v>
      </c>
      <c r="B14" s="78" t="s">
        <v>73</v>
      </c>
      <c r="C14" s="78"/>
      <c r="D14" s="83">
        <v>0</v>
      </c>
      <c r="E14" s="78"/>
      <c r="F14" s="83">
        <v>0</v>
      </c>
      <c r="G14" s="84"/>
      <c r="H14" s="83">
        <v>0</v>
      </c>
      <c r="I14" s="84"/>
      <c r="J14" s="83">
        <v>0</v>
      </c>
      <c r="K14" s="84"/>
      <c r="L14" s="83">
        <v>0</v>
      </c>
      <c r="M14" s="84"/>
      <c r="N14" s="84">
        <f t="shared" si="0"/>
        <v>0</v>
      </c>
    </row>
    <row r="15" spans="1:14" ht="11.85" customHeight="1" x14ac:dyDescent="0.25">
      <c r="A15" s="80">
        <v>105</v>
      </c>
      <c r="B15" s="78" t="s">
        <v>53</v>
      </c>
      <c r="C15" s="78"/>
      <c r="D15" s="83">
        <v>0</v>
      </c>
      <c r="E15" s="78"/>
      <c r="F15" s="83">
        <v>0</v>
      </c>
      <c r="G15" s="84"/>
      <c r="H15" s="83">
        <v>0</v>
      </c>
      <c r="I15" s="84"/>
      <c r="J15" s="83">
        <v>0</v>
      </c>
      <c r="K15" s="84"/>
      <c r="L15" s="83">
        <v>0</v>
      </c>
      <c r="M15" s="84"/>
      <c r="N15" s="84">
        <f t="shared" si="0"/>
        <v>0</v>
      </c>
    </row>
    <row r="16" spans="1:14" ht="11.85" customHeight="1" x14ac:dyDescent="0.25">
      <c r="A16" s="80">
        <v>105</v>
      </c>
      <c r="B16" s="78" t="s">
        <v>2</v>
      </c>
      <c r="C16" s="78"/>
      <c r="D16" s="83">
        <v>0</v>
      </c>
      <c r="E16" s="78"/>
      <c r="F16" s="83">
        <v>0</v>
      </c>
      <c r="G16" s="84"/>
      <c r="H16" s="83">
        <v>0</v>
      </c>
      <c r="I16" s="84"/>
      <c r="J16" s="83">
        <v>0</v>
      </c>
      <c r="K16" s="84"/>
      <c r="L16" s="83">
        <v>0</v>
      </c>
      <c r="M16" s="84"/>
      <c r="N16" s="84">
        <f t="shared" si="0"/>
        <v>0</v>
      </c>
    </row>
    <row r="17" spans="1:15" ht="11.85" customHeight="1" x14ac:dyDescent="0.25">
      <c r="A17" s="80">
        <v>110</v>
      </c>
      <c r="B17" s="78" t="s">
        <v>27</v>
      </c>
      <c r="C17" s="78"/>
      <c r="D17" s="83">
        <v>0</v>
      </c>
      <c r="E17" s="78"/>
      <c r="F17" s="83">
        <v>0</v>
      </c>
      <c r="G17" s="84"/>
      <c r="H17" s="83">
        <v>0</v>
      </c>
      <c r="I17" s="84"/>
      <c r="J17" s="83">
        <v>0</v>
      </c>
      <c r="K17" s="84"/>
      <c r="L17" s="83">
        <v>0</v>
      </c>
      <c r="M17" s="84"/>
      <c r="N17" s="84">
        <f t="shared" si="0"/>
        <v>0</v>
      </c>
    </row>
    <row r="18" spans="1:15" ht="11.85" customHeight="1" x14ac:dyDescent="0.25">
      <c r="A18" s="80">
        <v>110</v>
      </c>
      <c r="B18" s="78" t="s">
        <v>120</v>
      </c>
      <c r="C18" s="78"/>
      <c r="D18" s="83">
        <v>0</v>
      </c>
      <c r="E18" s="78"/>
      <c r="F18" s="83">
        <v>0</v>
      </c>
      <c r="G18" s="84"/>
      <c r="H18" s="83">
        <v>0</v>
      </c>
      <c r="I18" s="84"/>
      <c r="J18" s="83">
        <v>0</v>
      </c>
      <c r="K18" s="84"/>
      <c r="L18" s="83">
        <v>0</v>
      </c>
      <c r="M18" s="84"/>
      <c r="N18" s="84">
        <f t="shared" si="0"/>
        <v>0</v>
      </c>
    </row>
    <row r="19" spans="1:15" ht="11.85" customHeight="1" x14ac:dyDescent="0.25">
      <c r="A19" s="36">
        <v>112</v>
      </c>
      <c r="B19" s="35" t="s">
        <v>362</v>
      </c>
      <c r="C19" s="78"/>
      <c r="D19" s="83">
        <v>0</v>
      </c>
      <c r="E19" s="78"/>
      <c r="F19" s="83">
        <v>0</v>
      </c>
      <c r="G19" s="84"/>
      <c r="H19" s="83">
        <v>0</v>
      </c>
      <c r="I19" s="84"/>
      <c r="J19" s="83">
        <v>0</v>
      </c>
      <c r="K19" s="84"/>
      <c r="L19" s="83">
        <v>0</v>
      </c>
      <c r="M19" s="84"/>
      <c r="N19" s="84">
        <f>D19+F19+H19+J19+L19</f>
        <v>0</v>
      </c>
      <c r="O19" s="181"/>
    </row>
    <row r="20" spans="1:15" ht="11.85" customHeight="1" x14ac:dyDescent="0.25">
      <c r="A20" s="80">
        <v>115</v>
      </c>
      <c r="B20" s="78" t="s">
        <v>28</v>
      </c>
      <c r="C20" s="78"/>
      <c r="D20" s="83">
        <v>0</v>
      </c>
      <c r="E20" s="78"/>
      <c r="F20" s="83">
        <v>0</v>
      </c>
      <c r="G20" s="84"/>
      <c r="H20" s="83">
        <v>0</v>
      </c>
      <c r="I20" s="84"/>
      <c r="J20" s="83">
        <v>0</v>
      </c>
      <c r="K20" s="84"/>
      <c r="L20" s="83">
        <v>0</v>
      </c>
      <c r="M20" s="84"/>
      <c r="N20" s="84">
        <f t="shared" si="0"/>
        <v>0</v>
      </c>
    </row>
    <row r="21" spans="1:15" ht="11.85" customHeight="1" x14ac:dyDescent="0.25">
      <c r="A21" s="80">
        <v>120</v>
      </c>
      <c r="B21" s="78" t="s">
        <v>5</v>
      </c>
      <c r="C21" s="78"/>
      <c r="D21" s="83">
        <v>0</v>
      </c>
      <c r="E21" s="78"/>
      <c r="F21" s="83">
        <v>0</v>
      </c>
      <c r="G21" s="84"/>
      <c r="H21" s="83">
        <v>0</v>
      </c>
      <c r="I21" s="84"/>
      <c r="J21" s="83">
        <v>0</v>
      </c>
      <c r="K21" s="84"/>
      <c r="L21" s="83">
        <v>0</v>
      </c>
      <c r="M21" s="84"/>
      <c r="N21" s="84">
        <f t="shared" si="0"/>
        <v>0</v>
      </c>
    </row>
    <row r="22" spans="1:15" ht="11.85" customHeight="1" x14ac:dyDescent="0.25">
      <c r="A22" s="80">
        <v>125</v>
      </c>
      <c r="B22" s="78" t="s">
        <v>121</v>
      </c>
      <c r="C22" s="78"/>
      <c r="D22" s="83">
        <v>0</v>
      </c>
      <c r="E22" s="78"/>
      <c r="F22" s="83">
        <v>0</v>
      </c>
      <c r="G22" s="84"/>
      <c r="H22" s="83">
        <v>0</v>
      </c>
      <c r="I22" s="84"/>
      <c r="J22" s="83">
        <v>0</v>
      </c>
      <c r="K22" s="84"/>
      <c r="L22" s="83">
        <v>0</v>
      </c>
      <c r="M22" s="84"/>
      <c r="N22" s="84">
        <f t="shared" si="0"/>
        <v>0</v>
      </c>
    </row>
    <row r="23" spans="1:15" ht="11.85" customHeight="1" x14ac:dyDescent="0.25">
      <c r="A23" s="80">
        <v>128</v>
      </c>
      <c r="B23" s="35" t="s">
        <v>354</v>
      </c>
      <c r="C23" s="78"/>
      <c r="D23" s="83">
        <v>0</v>
      </c>
      <c r="E23" s="78"/>
      <c r="F23" s="83">
        <v>0</v>
      </c>
      <c r="G23" s="84"/>
      <c r="H23" s="83">
        <v>0</v>
      </c>
      <c r="I23" s="84"/>
      <c r="J23" s="83">
        <v>0</v>
      </c>
      <c r="K23" s="84"/>
      <c r="L23" s="83">
        <v>0</v>
      </c>
      <c r="M23" s="84"/>
      <c r="N23" s="84">
        <f t="shared" si="0"/>
        <v>0</v>
      </c>
    </row>
    <row r="24" spans="1:15" ht="11.85" customHeight="1" x14ac:dyDescent="0.25">
      <c r="A24" s="80">
        <v>120</v>
      </c>
      <c r="B24" s="78" t="s">
        <v>52</v>
      </c>
      <c r="C24" s="78"/>
      <c r="D24" s="83">
        <v>0</v>
      </c>
      <c r="E24" s="78"/>
      <c r="F24" s="83">
        <v>0</v>
      </c>
      <c r="G24" s="84"/>
      <c r="H24" s="83">
        <v>0</v>
      </c>
      <c r="I24" s="84"/>
      <c r="J24" s="83">
        <v>0</v>
      </c>
      <c r="K24" s="84"/>
      <c r="L24" s="83">
        <v>0</v>
      </c>
      <c r="M24" s="84"/>
      <c r="N24" s="84">
        <f t="shared" si="0"/>
        <v>0</v>
      </c>
    </row>
    <row r="25" spans="1:15" ht="11.85" customHeight="1" x14ac:dyDescent="0.25">
      <c r="A25" s="80">
        <v>105</v>
      </c>
      <c r="B25" s="78" t="s">
        <v>8</v>
      </c>
      <c r="C25" s="78"/>
      <c r="D25" s="83">
        <v>0</v>
      </c>
      <c r="E25" s="78"/>
      <c r="F25" s="83">
        <v>0</v>
      </c>
      <c r="G25" s="84"/>
      <c r="H25" s="83">
        <v>0</v>
      </c>
      <c r="I25" s="84"/>
      <c r="J25" s="83">
        <v>0</v>
      </c>
      <c r="K25" s="84"/>
      <c r="L25" s="83">
        <v>0</v>
      </c>
      <c r="M25" s="84"/>
      <c r="N25" s="84">
        <f t="shared" si="0"/>
        <v>0</v>
      </c>
    </row>
    <row r="26" spans="1:15" ht="11.85" customHeight="1" x14ac:dyDescent="0.25">
      <c r="A26" s="85" t="s">
        <v>77</v>
      </c>
      <c r="B26" s="78" t="s">
        <v>74</v>
      </c>
      <c r="C26" s="78"/>
      <c r="D26" s="86">
        <v>0</v>
      </c>
      <c r="E26" s="78"/>
      <c r="F26" s="86">
        <v>0</v>
      </c>
      <c r="G26" s="84"/>
      <c r="H26" s="86">
        <v>0</v>
      </c>
      <c r="I26" s="84"/>
      <c r="J26" s="86">
        <v>0</v>
      </c>
      <c r="K26" s="84"/>
      <c r="L26" s="86">
        <v>0</v>
      </c>
      <c r="M26" s="84"/>
      <c r="N26" s="87">
        <f t="shared" si="0"/>
        <v>0</v>
      </c>
    </row>
    <row r="27" spans="1:15" ht="12.9" customHeight="1" x14ac:dyDescent="0.25">
      <c r="A27" s="78"/>
      <c r="B27" s="88" t="s">
        <v>6</v>
      </c>
      <c r="C27" s="78"/>
      <c r="D27" s="89">
        <f>SUM(D9:D26)</f>
        <v>0</v>
      </c>
      <c r="E27" s="78"/>
      <c r="F27" s="89">
        <f>SUM(F9:F26)</f>
        <v>0</v>
      </c>
      <c r="G27" s="84"/>
      <c r="H27" s="89">
        <f>SUM(H9:H26)</f>
        <v>0</v>
      </c>
      <c r="I27" s="84"/>
      <c r="J27" s="89">
        <f>SUM(J9:J26)</f>
        <v>0</v>
      </c>
      <c r="K27" s="84"/>
      <c r="L27" s="89">
        <f>SUM(L9:L26)</f>
        <v>0</v>
      </c>
      <c r="M27" s="84"/>
      <c r="N27" s="89">
        <f t="shared" si="0"/>
        <v>0</v>
      </c>
    </row>
    <row r="28" spans="1:15" ht="3.9" customHeight="1" x14ac:dyDescent="0.25">
      <c r="A28" s="78"/>
      <c r="B28" s="88"/>
      <c r="C28" s="78"/>
      <c r="D28" s="84"/>
      <c r="E28" s="78"/>
      <c r="F28" s="84"/>
      <c r="G28" s="84"/>
      <c r="H28" s="84"/>
      <c r="I28" s="84"/>
      <c r="J28" s="84"/>
      <c r="K28" s="84"/>
      <c r="L28" s="84"/>
      <c r="M28" s="84"/>
      <c r="N28" s="84"/>
    </row>
    <row r="29" spans="1:15" x14ac:dyDescent="0.25">
      <c r="A29" s="78"/>
      <c r="B29" s="176" t="s">
        <v>355</v>
      </c>
      <c r="C29" s="78"/>
      <c r="D29" s="78"/>
      <c r="E29" s="78"/>
      <c r="F29" s="78"/>
      <c r="G29" s="78"/>
      <c r="H29" s="78"/>
      <c r="I29" s="78"/>
      <c r="J29" s="78"/>
      <c r="K29" s="78"/>
      <c r="L29" s="78"/>
      <c r="M29" s="78"/>
      <c r="N29" s="78"/>
    </row>
    <row r="30" spans="1:15" ht="11.85" customHeight="1" x14ac:dyDescent="0.25">
      <c r="A30" s="80">
        <v>200</v>
      </c>
      <c r="B30" s="78" t="s">
        <v>9</v>
      </c>
      <c r="C30" s="78"/>
      <c r="D30" s="83">
        <v>0</v>
      </c>
      <c r="E30" s="78"/>
      <c r="F30" s="83">
        <v>0</v>
      </c>
      <c r="G30" s="84"/>
      <c r="H30" s="83">
        <v>0</v>
      </c>
      <c r="I30" s="84"/>
      <c r="J30" s="83">
        <v>0</v>
      </c>
      <c r="K30" s="84"/>
      <c r="L30" s="83">
        <v>0</v>
      </c>
      <c r="M30" s="84"/>
      <c r="N30" s="84">
        <f t="shared" ref="N30:N43" si="1">D30+F30+H30+J30+L30</f>
        <v>0</v>
      </c>
    </row>
    <row r="31" spans="1:15" ht="11.85" customHeight="1" x14ac:dyDescent="0.25">
      <c r="A31" s="80">
        <v>202</v>
      </c>
      <c r="B31" s="35" t="s">
        <v>360</v>
      </c>
      <c r="C31" s="78"/>
      <c r="D31" s="83">
        <v>0</v>
      </c>
      <c r="E31" s="78"/>
      <c r="F31" s="83">
        <v>0</v>
      </c>
      <c r="G31" s="84"/>
      <c r="H31" s="83">
        <v>0</v>
      </c>
      <c r="I31" s="84"/>
      <c r="J31" s="83">
        <v>0</v>
      </c>
      <c r="K31" s="84"/>
      <c r="L31" s="83">
        <v>0</v>
      </c>
      <c r="M31" s="84"/>
      <c r="N31" s="84">
        <f t="shared" si="1"/>
        <v>0</v>
      </c>
    </row>
    <row r="32" spans="1:15" ht="11.85" customHeight="1" x14ac:dyDescent="0.25">
      <c r="A32" s="80">
        <v>203</v>
      </c>
      <c r="B32" s="35" t="s">
        <v>356</v>
      </c>
      <c r="C32" s="78"/>
      <c r="D32" s="83">
        <v>0</v>
      </c>
      <c r="E32" s="78"/>
      <c r="F32" s="83">
        <v>0</v>
      </c>
      <c r="G32" s="84"/>
      <c r="H32" s="83">
        <v>0</v>
      </c>
      <c r="I32" s="84"/>
      <c r="J32" s="83">
        <v>0</v>
      </c>
      <c r="K32" s="84"/>
      <c r="L32" s="83">
        <v>0</v>
      </c>
      <c r="M32" s="84"/>
      <c r="N32" s="84">
        <f t="shared" si="1"/>
        <v>0</v>
      </c>
    </row>
    <row r="33" spans="1:15" ht="11.85" customHeight="1" x14ac:dyDescent="0.25">
      <c r="A33" s="80">
        <v>205</v>
      </c>
      <c r="B33" s="35" t="s">
        <v>214</v>
      </c>
      <c r="C33" s="78"/>
      <c r="D33" s="83">
        <v>0</v>
      </c>
      <c r="E33" s="78"/>
      <c r="F33" s="83">
        <v>0</v>
      </c>
      <c r="G33" s="84"/>
      <c r="H33" s="83">
        <v>0</v>
      </c>
      <c r="I33" s="84"/>
      <c r="J33" s="83">
        <v>0</v>
      </c>
      <c r="K33" s="84"/>
      <c r="L33" s="83">
        <v>0</v>
      </c>
      <c r="M33" s="84"/>
      <c r="N33" s="84">
        <f>D33+F33+H33+J33+L33</f>
        <v>0</v>
      </c>
    </row>
    <row r="34" spans="1:15" ht="11.85" customHeight="1" x14ac:dyDescent="0.25">
      <c r="A34" s="80">
        <v>210</v>
      </c>
      <c r="B34" s="78" t="s">
        <v>10</v>
      </c>
      <c r="C34" s="78"/>
      <c r="D34" s="83">
        <v>0</v>
      </c>
      <c r="E34" s="78"/>
      <c r="F34" s="83">
        <v>0</v>
      </c>
      <c r="G34" s="84"/>
      <c r="H34" s="83">
        <v>0</v>
      </c>
      <c r="I34" s="84"/>
      <c r="J34" s="83">
        <v>0</v>
      </c>
      <c r="K34" s="84"/>
      <c r="L34" s="83">
        <v>0</v>
      </c>
      <c r="M34" s="84"/>
      <c r="N34" s="84">
        <f t="shared" si="1"/>
        <v>0</v>
      </c>
    </row>
    <row r="35" spans="1:15" ht="11.85" customHeight="1" x14ac:dyDescent="0.25">
      <c r="A35" s="80">
        <v>215</v>
      </c>
      <c r="B35" s="78" t="s">
        <v>11</v>
      </c>
      <c r="C35" s="78"/>
      <c r="D35" s="83">
        <v>0</v>
      </c>
      <c r="E35" s="78"/>
      <c r="F35" s="83">
        <v>0</v>
      </c>
      <c r="G35" s="84"/>
      <c r="H35" s="83">
        <v>0</v>
      </c>
      <c r="I35" s="84"/>
      <c r="J35" s="83">
        <v>0</v>
      </c>
      <c r="K35" s="84"/>
      <c r="L35" s="83">
        <v>0</v>
      </c>
      <c r="M35" s="84"/>
      <c r="N35" s="84">
        <f t="shared" si="1"/>
        <v>0</v>
      </c>
    </row>
    <row r="36" spans="1:15" ht="11.85" customHeight="1" x14ac:dyDescent="0.25">
      <c r="A36" s="80">
        <v>220</v>
      </c>
      <c r="B36" s="78" t="s">
        <v>70</v>
      </c>
      <c r="C36" s="78"/>
      <c r="D36" s="83">
        <v>0</v>
      </c>
      <c r="E36" s="78"/>
      <c r="F36" s="83">
        <v>0</v>
      </c>
      <c r="G36" s="84"/>
      <c r="H36" s="83">
        <v>0</v>
      </c>
      <c r="I36" s="84"/>
      <c r="J36" s="83">
        <v>0</v>
      </c>
      <c r="K36" s="84"/>
      <c r="L36" s="83">
        <v>0</v>
      </c>
      <c r="M36" s="84"/>
      <c r="N36" s="84">
        <f t="shared" si="1"/>
        <v>0</v>
      </c>
    </row>
    <row r="37" spans="1:15" ht="11.85" customHeight="1" x14ac:dyDescent="0.25">
      <c r="A37" s="80">
        <v>200</v>
      </c>
      <c r="B37" s="78" t="s">
        <v>55</v>
      </c>
      <c r="C37" s="78"/>
      <c r="D37" s="83">
        <v>0</v>
      </c>
      <c r="E37" s="78"/>
      <c r="F37" s="83">
        <v>0</v>
      </c>
      <c r="G37" s="84"/>
      <c r="H37" s="83">
        <v>0</v>
      </c>
      <c r="I37" s="84"/>
      <c r="J37" s="83">
        <v>0</v>
      </c>
      <c r="K37" s="84"/>
      <c r="L37" s="83">
        <v>0</v>
      </c>
      <c r="M37" s="84"/>
      <c r="N37" s="84">
        <f t="shared" si="1"/>
        <v>0</v>
      </c>
    </row>
    <row r="38" spans="1:15" ht="11.85" customHeight="1" x14ac:dyDescent="0.25">
      <c r="A38" s="85" t="s">
        <v>77</v>
      </c>
      <c r="B38" s="78" t="s">
        <v>12</v>
      </c>
      <c r="C38" s="78"/>
      <c r="D38" s="83">
        <v>0</v>
      </c>
      <c r="E38" s="78"/>
      <c r="F38" s="83">
        <v>0</v>
      </c>
      <c r="G38" s="84"/>
      <c r="H38" s="83">
        <v>0</v>
      </c>
      <c r="I38" s="84"/>
      <c r="J38" s="83">
        <v>0</v>
      </c>
      <c r="K38" s="84"/>
      <c r="L38" s="83">
        <v>0</v>
      </c>
      <c r="M38" s="84"/>
      <c r="N38" s="84">
        <f t="shared" si="1"/>
        <v>0</v>
      </c>
    </row>
    <row r="39" spans="1:15" ht="11.85" customHeight="1" x14ac:dyDescent="0.25">
      <c r="A39" s="85" t="s">
        <v>77</v>
      </c>
      <c r="B39" s="78" t="s">
        <v>71</v>
      </c>
      <c r="C39" s="78"/>
      <c r="D39" s="83">
        <v>0</v>
      </c>
      <c r="E39" s="78"/>
      <c r="F39" s="83">
        <v>0</v>
      </c>
      <c r="G39" s="84"/>
      <c r="H39" s="83">
        <v>0</v>
      </c>
      <c r="I39" s="84"/>
      <c r="J39" s="83">
        <v>0</v>
      </c>
      <c r="K39" s="84"/>
      <c r="L39" s="83">
        <v>0</v>
      </c>
      <c r="M39" s="84"/>
      <c r="N39" s="84">
        <f t="shared" si="1"/>
        <v>0</v>
      </c>
    </row>
    <row r="40" spans="1:15" ht="11.85" customHeight="1" x14ac:dyDescent="0.25">
      <c r="A40" s="85" t="s">
        <v>77</v>
      </c>
      <c r="B40" s="78" t="s">
        <v>69</v>
      </c>
      <c r="C40" s="78"/>
      <c r="D40" s="83">
        <v>0</v>
      </c>
      <c r="E40" s="78"/>
      <c r="F40" s="83">
        <v>0</v>
      </c>
      <c r="G40" s="84"/>
      <c r="H40" s="83">
        <v>0</v>
      </c>
      <c r="I40" s="84"/>
      <c r="J40" s="83">
        <v>0</v>
      </c>
      <c r="K40" s="84"/>
      <c r="L40" s="83">
        <v>0</v>
      </c>
      <c r="M40" s="84"/>
      <c r="N40" s="84">
        <f t="shared" si="1"/>
        <v>0</v>
      </c>
    </row>
    <row r="41" spans="1:15" ht="11.85" customHeight="1" x14ac:dyDescent="0.25">
      <c r="A41" s="85" t="s">
        <v>77</v>
      </c>
      <c r="B41" s="78" t="s">
        <v>13</v>
      </c>
      <c r="C41" s="78"/>
      <c r="D41" s="83">
        <v>0</v>
      </c>
      <c r="E41" s="78"/>
      <c r="F41" s="83">
        <v>0</v>
      </c>
      <c r="G41" s="84"/>
      <c r="H41" s="83">
        <v>0</v>
      </c>
      <c r="I41" s="84"/>
      <c r="J41" s="83">
        <v>0</v>
      </c>
      <c r="K41" s="84"/>
      <c r="L41" s="83">
        <v>0</v>
      </c>
      <c r="M41" s="84"/>
      <c r="N41" s="84">
        <f t="shared" si="1"/>
        <v>0</v>
      </c>
    </row>
    <row r="42" spans="1:15" ht="11.85" customHeight="1" x14ac:dyDescent="0.25">
      <c r="A42" s="85" t="s">
        <v>77</v>
      </c>
      <c r="B42" s="78" t="s">
        <v>54</v>
      </c>
      <c r="C42" s="78"/>
      <c r="D42" s="86">
        <v>0</v>
      </c>
      <c r="E42" s="78"/>
      <c r="F42" s="86">
        <v>0</v>
      </c>
      <c r="G42" s="84"/>
      <c r="H42" s="86">
        <v>0</v>
      </c>
      <c r="I42" s="84"/>
      <c r="J42" s="86">
        <v>0</v>
      </c>
      <c r="K42" s="84"/>
      <c r="L42" s="86">
        <v>0</v>
      </c>
      <c r="M42" s="84"/>
      <c r="N42" s="87">
        <f t="shared" si="1"/>
        <v>0</v>
      </c>
    </row>
    <row r="43" spans="1:15" ht="12.9" customHeight="1" x14ac:dyDescent="0.25">
      <c r="A43" s="78"/>
      <c r="B43" s="88" t="s">
        <v>16</v>
      </c>
      <c r="C43" s="78"/>
      <c r="D43" s="89">
        <f>SUM(D30:D42)</f>
        <v>0</v>
      </c>
      <c r="E43" s="78"/>
      <c r="F43" s="89">
        <f>SUM(F30:F42)</f>
        <v>0</v>
      </c>
      <c r="G43" s="84"/>
      <c r="H43" s="89">
        <f>SUM(H30:H42)</f>
        <v>0</v>
      </c>
      <c r="I43" s="84"/>
      <c r="J43" s="89">
        <f>SUM(J30:J42)</f>
        <v>0</v>
      </c>
      <c r="K43" s="84"/>
      <c r="L43" s="89">
        <f>SUM(L30:L42)</f>
        <v>0</v>
      </c>
      <c r="M43" s="84"/>
      <c r="N43" s="89">
        <f t="shared" si="1"/>
        <v>0</v>
      </c>
    </row>
    <row r="44" spans="1:15" ht="3.9" customHeight="1" x14ac:dyDescent="0.25">
      <c r="A44" s="78"/>
      <c r="B44" s="88"/>
      <c r="C44" s="78"/>
      <c r="D44" s="84"/>
      <c r="E44" s="78"/>
      <c r="F44" s="84"/>
      <c r="G44" s="84"/>
      <c r="H44" s="84"/>
      <c r="I44" s="84"/>
      <c r="J44" s="84"/>
      <c r="K44" s="84"/>
      <c r="L44" s="84"/>
      <c r="M44" s="84"/>
      <c r="N44" s="84"/>
    </row>
    <row r="45" spans="1:15" x14ac:dyDescent="0.25">
      <c r="A45" s="78"/>
      <c r="B45" s="79" t="s">
        <v>14</v>
      </c>
      <c r="C45" s="78"/>
      <c r="D45" s="78"/>
      <c r="E45" s="78"/>
      <c r="F45" s="78"/>
      <c r="G45" s="78"/>
      <c r="H45" s="78"/>
      <c r="I45" s="78"/>
      <c r="J45" s="78"/>
      <c r="K45" s="78"/>
      <c r="L45" s="78"/>
      <c r="M45" s="78"/>
      <c r="N45" s="78"/>
    </row>
    <row r="46" spans="1:15" ht="11.85" customHeight="1" x14ac:dyDescent="0.25">
      <c r="A46" s="78"/>
      <c r="B46" s="270" t="s">
        <v>382</v>
      </c>
      <c r="C46" s="78"/>
      <c r="D46" s="83">
        <v>0</v>
      </c>
      <c r="E46" s="78"/>
      <c r="F46" s="83">
        <v>0</v>
      </c>
      <c r="G46" s="84"/>
      <c r="H46" s="83">
        <v>0</v>
      </c>
      <c r="I46" s="84"/>
      <c r="J46" s="83">
        <v>0</v>
      </c>
      <c r="K46" s="84"/>
      <c r="L46" s="83">
        <v>0</v>
      </c>
      <c r="M46" s="84"/>
      <c r="N46" s="84">
        <f>D46+F46+H46+J46+L46</f>
        <v>0</v>
      </c>
      <c r="O46" s="196"/>
    </row>
    <row r="47" spans="1:15" ht="11.85" customHeight="1" x14ac:dyDescent="0.25">
      <c r="A47" s="78"/>
      <c r="B47" s="270" t="s">
        <v>383</v>
      </c>
      <c r="C47" s="78"/>
      <c r="D47" s="86">
        <v>0</v>
      </c>
      <c r="E47" s="78"/>
      <c r="F47" s="86">
        <v>0</v>
      </c>
      <c r="G47" s="84"/>
      <c r="H47" s="86">
        <v>0</v>
      </c>
      <c r="I47" s="84"/>
      <c r="J47" s="86">
        <v>0</v>
      </c>
      <c r="K47" s="84"/>
      <c r="L47" s="86">
        <v>0</v>
      </c>
      <c r="M47" s="84"/>
      <c r="N47" s="84">
        <f>D47+F47+H47+J47+L47</f>
        <v>0</v>
      </c>
      <c r="O47" s="196"/>
    </row>
    <row r="48" spans="1:15" ht="13.65" customHeight="1" thickBot="1" x14ac:dyDescent="0.3">
      <c r="A48" s="78"/>
      <c r="B48" s="88" t="s">
        <v>17</v>
      </c>
      <c r="C48" s="78"/>
      <c r="D48" s="90">
        <f>SUM(D46:D47)</f>
        <v>0</v>
      </c>
      <c r="E48" s="78"/>
      <c r="F48" s="90">
        <f>SUM(F46:F47)</f>
        <v>0</v>
      </c>
      <c r="G48" s="82"/>
      <c r="H48" s="90">
        <f>SUM(H46:H47)</f>
        <v>0</v>
      </c>
      <c r="I48" s="82"/>
      <c r="J48" s="90">
        <f>SUM(J46:J47)</f>
        <v>0</v>
      </c>
      <c r="K48" s="82"/>
      <c r="L48" s="90">
        <f>SUM(L46:L47)</f>
        <v>0</v>
      </c>
      <c r="M48" s="82"/>
      <c r="N48" s="90">
        <f>D48+F48+H48+J48+L48</f>
        <v>0</v>
      </c>
    </row>
    <row r="49" spans="1:14" ht="6" customHeight="1" thickTop="1" x14ac:dyDescent="0.25">
      <c r="A49" s="78"/>
      <c r="B49" s="78"/>
      <c r="C49" s="78"/>
      <c r="D49" s="78"/>
      <c r="E49" s="78"/>
      <c r="F49" s="78"/>
      <c r="G49" s="78"/>
      <c r="H49" s="78"/>
      <c r="I49" s="78"/>
      <c r="J49" s="78"/>
      <c r="K49" s="78"/>
      <c r="L49" s="78"/>
      <c r="M49" s="78"/>
      <c r="N49" s="78"/>
    </row>
    <row r="50" spans="1:14" x14ac:dyDescent="0.25">
      <c r="A50" s="78"/>
      <c r="B50" s="91" t="s">
        <v>137</v>
      </c>
      <c r="C50" s="78"/>
      <c r="D50" s="92" t="str">
        <f>IF(D27-D43=D48,"OK","ERROR")</f>
        <v>OK</v>
      </c>
      <c r="E50" s="78"/>
      <c r="F50" s="92" t="str">
        <f>IF(F27-F43=F48,"OK","ERROR")</f>
        <v>OK</v>
      </c>
      <c r="G50" s="78"/>
      <c r="H50" s="92" t="str">
        <f>IF(H27-H43=H48,"OK","ERROR")</f>
        <v>OK</v>
      </c>
      <c r="I50" s="78"/>
      <c r="J50" s="92" t="str">
        <f>IF(J27-J43=J48,"OK","ERROR")</f>
        <v>OK</v>
      </c>
      <c r="K50" s="78"/>
      <c r="L50" s="92" t="str">
        <f>IF(L27-L43=L48,"OK","ERROR")</f>
        <v>OK</v>
      </c>
      <c r="M50" s="78"/>
      <c r="N50" s="78"/>
    </row>
    <row r="52" spans="1:14" x14ac:dyDescent="0.25">
      <c r="A52" s="26" t="s">
        <v>26</v>
      </c>
    </row>
    <row r="54" spans="1:14" x14ac:dyDescent="0.25">
      <c r="A54" s="40" t="s">
        <v>78</v>
      </c>
      <c r="B54" s="13" t="s">
        <v>79</v>
      </c>
    </row>
    <row r="55" spans="1:14" x14ac:dyDescent="0.25">
      <c r="A55" s="28"/>
      <c r="B55" s="13" t="s">
        <v>102</v>
      </c>
    </row>
    <row r="56" spans="1:14" x14ac:dyDescent="0.25">
      <c r="A56" s="29"/>
      <c r="B56" s="13"/>
      <c r="C56" s="13"/>
      <c r="D56" s="13"/>
      <c r="E56" s="13"/>
      <c r="F56" s="13"/>
      <c r="G56" s="13"/>
      <c r="H56" s="13"/>
    </row>
    <row r="57" spans="1:14" x14ac:dyDescent="0.25">
      <c r="A57" s="151" t="s">
        <v>82</v>
      </c>
      <c r="B57" s="13" t="s">
        <v>353</v>
      </c>
      <c r="C57" s="13"/>
      <c r="D57" s="13"/>
      <c r="E57" s="13"/>
      <c r="F57" s="13"/>
      <c r="G57" s="13"/>
      <c r="H57" s="13"/>
    </row>
    <row r="58" spans="1:14" x14ac:dyDescent="0.25">
      <c r="A58" s="29"/>
      <c r="B58" s="13" t="s">
        <v>357</v>
      </c>
      <c r="C58" s="13"/>
      <c r="D58" s="13"/>
      <c r="E58" s="13"/>
      <c r="F58" s="13"/>
      <c r="G58" s="13"/>
      <c r="H58" s="13"/>
    </row>
    <row r="59" spans="1:14" x14ac:dyDescent="0.25">
      <c r="A59" s="29"/>
      <c r="B59" s="13" t="s">
        <v>133</v>
      </c>
      <c r="C59" s="13"/>
      <c r="D59" s="13"/>
      <c r="E59" s="13"/>
      <c r="F59" s="13"/>
      <c r="G59" s="13"/>
      <c r="H59" s="13"/>
    </row>
    <row r="60" spans="1:14" x14ac:dyDescent="0.25">
      <c r="A60" s="29"/>
      <c r="B60" s="13" t="s">
        <v>358</v>
      </c>
      <c r="C60" s="13"/>
      <c r="D60" s="13"/>
      <c r="E60" s="13"/>
      <c r="F60" s="13"/>
      <c r="G60" s="13"/>
      <c r="H60" s="13"/>
    </row>
    <row r="61" spans="1:14" x14ac:dyDescent="0.25">
      <c r="A61" s="29"/>
      <c r="B61" s="13" t="s">
        <v>359</v>
      </c>
      <c r="C61" s="13"/>
      <c r="D61" s="13"/>
      <c r="E61" s="13"/>
      <c r="F61" s="13"/>
      <c r="G61" s="13"/>
      <c r="H61" s="13"/>
    </row>
    <row r="62" spans="1:14" x14ac:dyDescent="0.25">
      <c r="A62" s="29"/>
      <c r="B62" s="13"/>
      <c r="C62" s="13"/>
      <c r="D62" s="13"/>
      <c r="E62" s="13"/>
      <c r="F62" s="13"/>
      <c r="G62" s="13"/>
      <c r="H62" s="13"/>
    </row>
    <row r="63" spans="1:14" x14ac:dyDescent="0.25">
      <c r="A63" s="151" t="s">
        <v>103</v>
      </c>
      <c r="B63" s="13" t="s">
        <v>317</v>
      </c>
    </row>
    <row r="64" spans="1:14" x14ac:dyDescent="0.25">
      <c r="A64" s="28"/>
      <c r="B64" s="199" t="s">
        <v>468</v>
      </c>
    </row>
    <row r="65" spans="1:2" x14ac:dyDescent="0.25">
      <c r="A65" s="28"/>
      <c r="B65" s="13"/>
    </row>
    <row r="66" spans="1:2" x14ac:dyDescent="0.25">
      <c r="A66" s="151" t="s">
        <v>116</v>
      </c>
      <c r="B66" s="13" t="s">
        <v>84</v>
      </c>
    </row>
    <row r="67" spans="1:2" x14ac:dyDescent="0.25">
      <c r="A67" s="28"/>
      <c r="B67" s="13" t="s">
        <v>134</v>
      </c>
    </row>
    <row r="68" spans="1:2" x14ac:dyDescent="0.25">
      <c r="A68" s="28"/>
      <c r="B68" s="13" t="s">
        <v>135</v>
      </c>
    </row>
    <row r="69" spans="1:2" x14ac:dyDescent="0.25">
      <c r="A69" s="28"/>
      <c r="B69" s="13"/>
    </row>
    <row r="70" spans="1:2" x14ac:dyDescent="0.25">
      <c r="A70" s="151" t="s">
        <v>213</v>
      </c>
      <c r="B70" s="13" t="s">
        <v>129</v>
      </c>
    </row>
    <row r="71" spans="1:2" x14ac:dyDescent="0.25">
      <c r="A71" s="40"/>
      <c r="B71" s="13" t="s">
        <v>130</v>
      </c>
    </row>
    <row r="72" spans="1:2" x14ac:dyDescent="0.25">
      <c r="A72" s="40"/>
      <c r="B72" s="13" t="s">
        <v>133</v>
      </c>
    </row>
    <row r="73" spans="1:2" x14ac:dyDescent="0.25">
      <c r="A73" s="40"/>
      <c r="B73" s="13" t="s">
        <v>132</v>
      </c>
    </row>
    <row r="74" spans="1:2" x14ac:dyDescent="0.25">
      <c r="A74" s="40"/>
      <c r="B74" s="13" t="s">
        <v>131</v>
      </c>
    </row>
    <row r="75" spans="1:2" x14ac:dyDescent="0.25">
      <c r="A75" s="40"/>
      <c r="B75" s="13"/>
    </row>
    <row r="76" spans="1:2" x14ac:dyDescent="0.25">
      <c r="A76" s="40" t="s">
        <v>77</v>
      </c>
      <c r="B76" s="13" t="s">
        <v>83</v>
      </c>
    </row>
  </sheetData>
  <sheetProtection algorithmName="SHA-512" hashValue="iiZQeVuMOn+4/d9r5J9lPYhneUPz8KUU05svAJIEy+l9bf8U0eMXhktP30G56ynCctKn3vkBOO7LmnX7UP/lJg==" saltValue="LobnQWCT/Nn/sRcsR9RCow==" spinCount="100000" sheet="1" autoFilter="0"/>
  <mergeCells count="5">
    <mergeCell ref="H5:H7"/>
    <mergeCell ref="J5:J7"/>
    <mergeCell ref="L5:L7"/>
    <mergeCell ref="D5:D7"/>
    <mergeCell ref="F5:F7"/>
  </mergeCells>
  <phoneticPr fontId="0" type="noConversion"/>
  <conditionalFormatting sqref="D50 F50 H50 J50 L50">
    <cfRule type="cellIs" dxfId="12" priority="1" stopIfTrue="1" operator="equal">
      <formula>"ERROR"</formula>
    </cfRule>
  </conditionalFormatting>
  <pageMargins left="0.3" right="0.3" top="0.3" bottom="0.3" header="0.5" footer="0.2"/>
  <pageSetup scale="97" orientation="landscape" r:id="rId1"/>
  <headerFooter alignWithMargins="0">
    <oddFooter>&amp;L&amp;F &amp;A&amp;C&amp;P of &amp;N&amp;R&amp;D</oddFooter>
  </headerFooter>
  <rowBreaks count="1" manualBreakCount="1">
    <brk id="50" max="16383" man="1"/>
  </rowBreaks>
  <ignoredErrors>
    <ignoredError sqref="A5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7"/>
  <sheetViews>
    <sheetView zoomScaleNormal="100" workbookViewId="0">
      <selection activeCell="U22" sqref="U22"/>
    </sheetView>
  </sheetViews>
  <sheetFormatPr defaultRowHeight="13.2" x14ac:dyDescent="0.25"/>
  <cols>
    <col min="1" max="1" width="3.6640625" customWidth="1"/>
    <col min="2" max="2" width="44.6640625" customWidth="1"/>
    <col min="3" max="3" width="0.44140625" customWidth="1"/>
    <col min="4" max="4" width="13.6640625" customWidth="1"/>
    <col min="5" max="5" width="0.88671875" customWidth="1"/>
    <col min="6" max="6" width="13.6640625" customWidth="1"/>
    <col min="7" max="7" width="0.88671875" customWidth="1"/>
    <col min="8" max="8" width="13.6640625" customWidth="1"/>
    <col min="9" max="9" width="0.88671875" customWidth="1"/>
    <col min="10" max="10" width="12.33203125" customWidth="1"/>
    <col min="11" max="11" width="0.88671875" customWidth="1"/>
    <col min="12" max="12" width="12.33203125" customWidth="1"/>
    <col min="13" max="13" width="0.88671875" customWidth="1"/>
    <col min="14" max="14" width="13.6640625" customWidth="1"/>
  </cols>
  <sheetData>
    <row r="1" spans="1:14" ht="12.75" customHeight="1" x14ac:dyDescent="0.25">
      <c r="A1" s="1" t="str">
        <f>CONCATENATE(Info!D7," Foundations")</f>
        <v>UNC System Office Foundations</v>
      </c>
      <c r="N1" s="34" t="s">
        <v>59</v>
      </c>
    </row>
    <row r="2" spans="1:14" ht="12.75" customHeight="1" x14ac:dyDescent="0.25">
      <c r="A2" s="1" t="s">
        <v>86</v>
      </c>
    </row>
    <row r="3" spans="1:14" ht="12.75" customHeight="1" x14ac:dyDescent="0.25">
      <c r="A3" s="199" t="s">
        <v>447</v>
      </c>
    </row>
    <row r="4" spans="1:14" ht="12.75" customHeight="1" x14ac:dyDescent="0.25">
      <c r="A4" s="13" t="s">
        <v>351</v>
      </c>
      <c r="B4" s="5"/>
    </row>
    <row r="5" spans="1:14" ht="12.75" customHeight="1" x14ac:dyDescent="0.25">
      <c r="D5" s="318" t="str">
        <f>Info!$D$17</f>
        <v>Name of Foundation</v>
      </c>
      <c r="F5" s="318" t="str">
        <f>Info!$D$19</f>
        <v xml:space="preserve"> </v>
      </c>
      <c r="H5" s="318">
        <f>Info!$D$21</f>
        <v>0</v>
      </c>
      <c r="J5" s="318">
        <f>Info!$D$23</f>
        <v>0</v>
      </c>
      <c r="L5" s="318">
        <f>Info!$D$25</f>
        <v>0</v>
      </c>
    </row>
    <row r="6" spans="1:14" x14ac:dyDescent="0.25">
      <c r="D6" s="318"/>
      <c r="F6" s="318"/>
      <c r="G6" s="28"/>
      <c r="H6" s="318"/>
      <c r="I6" s="28"/>
      <c r="J6" s="318"/>
      <c r="K6" s="28"/>
      <c r="L6" s="318"/>
      <c r="M6" s="28"/>
      <c r="N6" s="28"/>
    </row>
    <row r="7" spans="1:14" x14ac:dyDescent="0.25">
      <c r="D7" s="319"/>
      <c r="F7" s="319"/>
      <c r="G7" s="29"/>
      <c r="H7" s="319"/>
      <c r="I7" s="29"/>
      <c r="J7" s="319"/>
      <c r="K7" s="28"/>
      <c r="L7" s="319"/>
      <c r="M7" s="29"/>
      <c r="N7" s="4" t="s">
        <v>7</v>
      </c>
    </row>
    <row r="8" spans="1:14" ht="15.6" x14ac:dyDescent="0.25">
      <c r="B8" s="1" t="s">
        <v>81</v>
      </c>
    </row>
    <row r="9" spans="1:14" x14ac:dyDescent="0.25">
      <c r="A9" s="37" t="s">
        <v>77</v>
      </c>
      <c r="B9" t="s">
        <v>104</v>
      </c>
      <c r="D9" s="53">
        <v>0</v>
      </c>
      <c r="F9" s="53">
        <v>0</v>
      </c>
      <c r="G9" s="9"/>
      <c r="H9" s="53">
        <v>0</v>
      </c>
      <c r="I9" s="9"/>
      <c r="J9" s="53">
        <v>0</v>
      </c>
      <c r="K9" s="9"/>
      <c r="L9" s="53">
        <v>0</v>
      </c>
      <c r="M9" s="9"/>
      <c r="N9" s="9">
        <f>D9+F9+H9+J9+L9</f>
        <v>0</v>
      </c>
    </row>
    <row r="10" spans="1:14" x14ac:dyDescent="0.25">
      <c r="A10" s="36">
        <v>500</v>
      </c>
      <c r="B10" t="s">
        <v>75</v>
      </c>
      <c r="D10" s="54">
        <v>0</v>
      </c>
      <c r="F10" s="54">
        <v>0</v>
      </c>
      <c r="G10" s="9"/>
      <c r="H10" s="54">
        <v>0</v>
      </c>
      <c r="I10" s="9"/>
      <c r="J10" s="54">
        <v>0</v>
      </c>
      <c r="K10" s="9"/>
      <c r="L10" s="54">
        <v>0</v>
      </c>
      <c r="M10" s="9"/>
      <c r="N10" s="6">
        <f>D10+F10+H10+J10+L10</f>
        <v>0</v>
      </c>
    </row>
    <row r="11" spans="1:14" x14ac:dyDescent="0.25">
      <c r="A11" s="36">
        <v>500</v>
      </c>
      <c r="B11" t="s">
        <v>76</v>
      </c>
      <c r="D11" s="54">
        <v>0</v>
      </c>
      <c r="F11" s="54">
        <v>0</v>
      </c>
      <c r="G11" s="9"/>
      <c r="H11" s="54">
        <v>0</v>
      </c>
      <c r="I11" s="9"/>
      <c r="J11" s="54">
        <v>0</v>
      </c>
      <c r="K11" s="9"/>
      <c r="L11" s="54">
        <v>0</v>
      </c>
      <c r="M11" s="9"/>
      <c r="N11" s="6">
        <f>D11+F11+H11+J11+L11</f>
        <v>0</v>
      </c>
    </row>
    <row r="12" spans="1:14" x14ac:dyDescent="0.25">
      <c r="A12" s="36">
        <v>505</v>
      </c>
      <c r="B12" t="s">
        <v>122</v>
      </c>
      <c r="D12" s="54">
        <v>0</v>
      </c>
      <c r="F12" s="54">
        <v>0</v>
      </c>
      <c r="G12" s="9"/>
      <c r="H12" s="54">
        <v>0</v>
      </c>
      <c r="I12" s="9"/>
      <c r="J12" s="54">
        <v>0</v>
      </c>
      <c r="K12" s="9"/>
      <c r="L12" s="54">
        <v>0</v>
      </c>
      <c r="M12" s="9"/>
      <c r="N12" s="6">
        <f>D12+F12+H12+J12+L12</f>
        <v>0</v>
      </c>
    </row>
    <row r="13" spans="1:14" x14ac:dyDescent="0.25">
      <c r="A13" s="36">
        <v>530</v>
      </c>
      <c r="B13" t="s">
        <v>19</v>
      </c>
      <c r="D13" s="54">
        <v>0</v>
      </c>
      <c r="F13" s="54">
        <v>0</v>
      </c>
      <c r="G13" s="6"/>
      <c r="H13" s="54">
        <v>0</v>
      </c>
      <c r="I13" s="6"/>
      <c r="J13" s="54">
        <v>0</v>
      </c>
      <c r="K13" s="6"/>
      <c r="L13" s="54">
        <v>0</v>
      </c>
      <c r="M13" s="6"/>
      <c r="N13" s="6">
        <f>D13+F13+H13+J13+L13</f>
        <v>0</v>
      </c>
    </row>
    <row r="14" spans="1:14" x14ac:dyDescent="0.25">
      <c r="A14" s="36">
        <v>530</v>
      </c>
      <c r="B14" t="s">
        <v>125</v>
      </c>
      <c r="D14" s="54">
        <v>0</v>
      </c>
      <c r="F14" s="54">
        <v>0</v>
      </c>
      <c r="G14" s="6"/>
      <c r="H14" s="54">
        <v>0</v>
      </c>
      <c r="I14" s="6"/>
      <c r="J14" s="54">
        <v>0</v>
      </c>
      <c r="K14" s="6"/>
      <c r="L14" s="54">
        <v>0</v>
      </c>
      <c r="M14" s="6"/>
      <c r="N14" s="6">
        <f t="shared" ref="N14:N19" si="0">D14+F14+H14+J14+L14</f>
        <v>0</v>
      </c>
    </row>
    <row r="15" spans="1:14" x14ac:dyDescent="0.25">
      <c r="A15" s="36">
        <v>540</v>
      </c>
      <c r="B15" t="s">
        <v>49</v>
      </c>
      <c r="D15" s="54">
        <v>0</v>
      </c>
      <c r="F15" s="54">
        <v>0</v>
      </c>
      <c r="G15" s="6"/>
      <c r="H15" s="54">
        <v>0</v>
      </c>
      <c r="I15" s="6"/>
      <c r="J15" s="54">
        <v>0</v>
      </c>
      <c r="K15" s="6"/>
      <c r="L15" s="54">
        <v>0</v>
      </c>
      <c r="M15" s="6"/>
      <c r="N15" s="6">
        <f t="shared" si="0"/>
        <v>0</v>
      </c>
    </row>
    <row r="16" spans="1:14" x14ac:dyDescent="0.25">
      <c r="A16" s="36">
        <v>550</v>
      </c>
      <c r="B16" t="s">
        <v>56</v>
      </c>
      <c r="D16" s="54">
        <v>0</v>
      </c>
      <c r="F16" s="54">
        <v>0</v>
      </c>
      <c r="G16" s="6"/>
      <c r="H16" s="54">
        <v>0</v>
      </c>
      <c r="I16" s="6"/>
      <c r="J16" s="54">
        <v>0</v>
      </c>
      <c r="K16" s="6"/>
      <c r="L16" s="54">
        <v>0</v>
      </c>
      <c r="M16" s="6"/>
      <c r="N16" s="6">
        <f t="shared" si="0"/>
        <v>0</v>
      </c>
    </row>
    <row r="17" spans="1:15" x14ac:dyDescent="0.25">
      <c r="A17" s="36">
        <v>555</v>
      </c>
      <c r="B17" t="s">
        <v>105</v>
      </c>
      <c r="D17" s="54">
        <v>0</v>
      </c>
      <c r="F17" s="54">
        <v>0</v>
      </c>
      <c r="G17" s="6"/>
      <c r="H17" s="54">
        <v>0</v>
      </c>
      <c r="I17" s="6"/>
      <c r="J17" s="54">
        <v>0</v>
      </c>
      <c r="K17" s="6"/>
      <c r="L17" s="54">
        <v>0</v>
      </c>
      <c r="M17" s="6"/>
      <c r="N17" s="6">
        <f t="shared" si="0"/>
        <v>0</v>
      </c>
      <c r="O17" s="171" t="str">
        <f>IF(N17&lt;0,"Problem: Amount should not be negative; include loss/exp with Other expenses", " ")</f>
        <v xml:space="preserve"> </v>
      </c>
    </row>
    <row r="18" spans="1:15" x14ac:dyDescent="0.25">
      <c r="A18" s="36">
        <v>560</v>
      </c>
      <c r="B18" t="s">
        <v>57</v>
      </c>
      <c r="D18" s="55">
        <v>0</v>
      </c>
      <c r="F18" s="55">
        <v>0</v>
      </c>
      <c r="G18" s="6"/>
      <c r="H18" s="55">
        <v>0</v>
      </c>
      <c r="I18" s="6"/>
      <c r="J18" s="55">
        <v>0</v>
      </c>
      <c r="K18" s="6"/>
      <c r="L18" s="55">
        <v>0</v>
      </c>
      <c r="M18" s="6"/>
      <c r="N18" s="7">
        <f t="shared" si="0"/>
        <v>0</v>
      </c>
      <c r="O18" s="171" t="str">
        <f>IF(N18&lt;0,"Problem: Amount should not be negative; include loss/exp with Other expenses", " ")</f>
        <v xml:space="preserve"> </v>
      </c>
    </row>
    <row r="19" spans="1:15" x14ac:dyDescent="0.25">
      <c r="A19" s="28"/>
      <c r="B19" s="2" t="s">
        <v>20</v>
      </c>
      <c r="D19" s="8">
        <f>SUM(D9:D18)</f>
        <v>0</v>
      </c>
      <c r="F19" s="8">
        <f>SUM(F9:F18)</f>
        <v>0</v>
      </c>
      <c r="G19" s="6"/>
      <c r="H19" s="8">
        <f>SUM(H9:H18)</f>
        <v>0</v>
      </c>
      <c r="I19" s="6"/>
      <c r="J19" s="8">
        <f>SUM(J9:J18)</f>
        <v>0</v>
      </c>
      <c r="K19" s="6"/>
      <c r="L19" s="8">
        <f>SUM(L9:L18)</f>
        <v>0</v>
      </c>
      <c r="M19" s="6"/>
      <c r="N19" s="8">
        <f t="shared" si="0"/>
        <v>0</v>
      </c>
    </row>
    <row r="20" spans="1:15" ht="9.9" customHeight="1" x14ac:dyDescent="0.25">
      <c r="A20" s="28"/>
    </row>
    <row r="21" spans="1:15" ht="15.6" x14ac:dyDescent="0.25">
      <c r="A21" s="28"/>
      <c r="B21" s="1" t="s">
        <v>106</v>
      </c>
    </row>
    <row r="22" spans="1:15" x14ac:dyDescent="0.25">
      <c r="A22" s="36" t="s">
        <v>77</v>
      </c>
      <c r="B22" s="13" t="s">
        <v>48</v>
      </c>
      <c r="D22" s="56">
        <v>0</v>
      </c>
      <c r="F22" s="56">
        <v>0</v>
      </c>
      <c r="G22" s="12"/>
      <c r="H22" s="56">
        <v>0</v>
      </c>
      <c r="I22" s="12"/>
      <c r="J22" s="56">
        <v>0</v>
      </c>
      <c r="K22" s="12"/>
      <c r="L22" s="56">
        <v>0</v>
      </c>
      <c r="M22" s="12"/>
      <c r="N22" s="6">
        <f>D22+F22+H22+J22+L22</f>
        <v>0</v>
      </c>
    </row>
    <row r="23" spans="1:15" x14ac:dyDescent="0.25">
      <c r="A23" s="36">
        <v>610</v>
      </c>
      <c r="B23" t="s">
        <v>211</v>
      </c>
      <c r="D23" s="57">
        <v>0</v>
      </c>
      <c r="E23" s="6"/>
      <c r="F23" s="57">
        <v>0</v>
      </c>
      <c r="G23" s="12"/>
      <c r="H23" s="57">
        <v>0</v>
      </c>
      <c r="I23" s="12"/>
      <c r="J23" s="57">
        <v>0</v>
      </c>
      <c r="K23" s="12"/>
      <c r="L23" s="57">
        <v>0</v>
      </c>
      <c r="M23" s="12"/>
      <c r="N23" s="7">
        <f>D23+F23+H23+J23+L23</f>
        <v>0</v>
      </c>
    </row>
    <row r="24" spans="1:15" x14ac:dyDescent="0.25">
      <c r="B24" s="2" t="s">
        <v>22</v>
      </c>
      <c r="D24" s="22">
        <f>SUM(D22:D23)</f>
        <v>0</v>
      </c>
      <c r="E24" s="6"/>
      <c r="F24" s="22">
        <f>SUM(F22:F23)</f>
        <v>0</v>
      </c>
      <c r="G24" s="12"/>
      <c r="H24" s="22">
        <f>SUM(H22:H23)</f>
        <v>0</v>
      </c>
      <c r="I24" s="12"/>
      <c r="J24" s="22">
        <f>SUM(J22:J23)</f>
        <v>0</v>
      </c>
      <c r="K24" s="12"/>
      <c r="L24" s="22">
        <f>SUM(L22:L23)</f>
        <v>0</v>
      </c>
      <c r="M24" s="12"/>
      <c r="N24" s="8">
        <f>D24+F24+H24+J24+L24</f>
        <v>0</v>
      </c>
    </row>
    <row r="25" spans="1:15" ht="9.9" customHeight="1" x14ac:dyDescent="0.25"/>
    <row r="26" spans="1:15" x14ac:dyDescent="0.25">
      <c r="B26" t="s">
        <v>23</v>
      </c>
      <c r="D26" s="12">
        <f>D19-D24</f>
        <v>0</v>
      </c>
      <c r="F26" s="12">
        <f>F19-F24</f>
        <v>0</v>
      </c>
      <c r="G26" s="12"/>
      <c r="H26" s="12">
        <f>H19-H24</f>
        <v>0</v>
      </c>
      <c r="I26" s="12"/>
      <c r="J26" s="12">
        <f>J19-J24</f>
        <v>0</v>
      </c>
      <c r="K26" s="12"/>
      <c r="L26" s="12">
        <f>L19-L24</f>
        <v>0</v>
      </c>
      <c r="M26" s="12"/>
      <c r="N26" s="6">
        <f>D26+F26+H26+J26+L26</f>
        <v>0</v>
      </c>
    </row>
    <row r="27" spans="1:15" x14ac:dyDescent="0.25">
      <c r="D27" s="12"/>
      <c r="F27" s="12"/>
      <c r="G27" s="12"/>
      <c r="H27" s="12"/>
      <c r="I27" s="12"/>
      <c r="J27" s="12"/>
      <c r="K27" s="12"/>
      <c r="L27" s="12"/>
      <c r="M27" s="12"/>
      <c r="N27" s="6"/>
    </row>
    <row r="28" spans="1:15" x14ac:dyDescent="0.25">
      <c r="B28" t="s">
        <v>212</v>
      </c>
      <c r="D28" s="56">
        <v>0</v>
      </c>
      <c r="F28" s="56">
        <v>0</v>
      </c>
      <c r="G28" s="12"/>
      <c r="H28" s="56">
        <v>0</v>
      </c>
      <c r="I28" s="12"/>
      <c r="J28" s="56">
        <v>0</v>
      </c>
      <c r="K28" s="12"/>
      <c r="L28" s="56">
        <v>0</v>
      </c>
      <c r="M28" s="12"/>
      <c r="N28" s="76">
        <f>VLOOKUP(Info!D6,'Net Assets'!A1:E100,3,FALSE)</f>
        <v>0</v>
      </c>
      <c r="O28" s="75" t="str">
        <f>IF((D28+F28+H28+J28+L28=N28),"OK","Problem - Must equal the total prior year ending per Foundation template")</f>
        <v>OK</v>
      </c>
    </row>
    <row r="29" spans="1:15" x14ac:dyDescent="0.25">
      <c r="B29" t="s">
        <v>189</v>
      </c>
      <c r="D29" s="57">
        <v>0</v>
      </c>
      <c r="F29" s="57">
        <v>0</v>
      </c>
      <c r="G29" s="12"/>
      <c r="H29" s="57">
        <v>0</v>
      </c>
      <c r="I29" s="12"/>
      <c r="J29" s="57">
        <v>0</v>
      </c>
      <c r="K29" s="12"/>
      <c r="L29" s="57">
        <v>0</v>
      </c>
      <c r="M29" s="12"/>
      <c r="N29" s="7">
        <f>D29+F29+H29+J29+L29</f>
        <v>0</v>
      </c>
    </row>
    <row r="30" spans="1:15" ht="14.85" customHeight="1" thickBot="1" x14ac:dyDescent="0.3">
      <c r="B30" t="s">
        <v>25</v>
      </c>
      <c r="D30" s="11">
        <f>D26+D28+D29</f>
        <v>0</v>
      </c>
      <c r="F30" s="11">
        <f>F26+F28+F29</f>
        <v>0</v>
      </c>
      <c r="G30" s="30"/>
      <c r="H30" s="11">
        <f>H26+H28+H29</f>
        <v>0</v>
      </c>
      <c r="I30" s="30"/>
      <c r="J30" s="11">
        <f>J26+J28+J29</f>
        <v>0</v>
      </c>
      <c r="K30" s="30"/>
      <c r="L30" s="11">
        <f>L26+L28+L29</f>
        <v>0</v>
      </c>
      <c r="M30" s="30"/>
      <c r="N30" s="11">
        <f>D30+F30+H30+J30+L30</f>
        <v>0</v>
      </c>
    </row>
    <row r="31" spans="1:15" ht="9.9" customHeight="1" thickTop="1" x14ac:dyDescent="0.25"/>
    <row r="32" spans="1:15" ht="12.75" customHeight="1" x14ac:dyDescent="0.25">
      <c r="B32" s="24" t="s">
        <v>115</v>
      </c>
      <c r="D32" s="38" t="str">
        <f>IF(D30='Exh A'!D48,"OK","ERROR")</f>
        <v>OK</v>
      </c>
      <c r="F32" s="38" t="str">
        <f>IF(F30='Exh A'!F48,"OK","ERROR")</f>
        <v>OK</v>
      </c>
      <c r="H32" s="38" t="str">
        <f>IF(H30='Exh A'!H48,"OK","ERROR")</f>
        <v>OK</v>
      </c>
      <c r="J32" s="38" t="str">
        <f>IF(J30='Exh A'!J48,"OK","ERROR")</f>
        <v>OK</v>
      </c>
      <c r="L32" s="38" t="str">
        <f>IF(L30='Exh A'!L48,"OK","ERROR")</f>
        <v>OK</v>
      </c>
    </row>
    <row r="33" spans="1:14" ht="9.9" customHeight="1" x14ac:dyDescent="0.25"/>
    <row r="34" spans="1:14" x14ac:dyDescent="0.25">
      <c r="A34" s="26" t="s">
        <v>80</v>
      </c>
    </row>
    <row r="35" spans="1:14" ht="5.0999999999999996" customHeight="1" x14ac:dyDescent="0.25"/>
    <row r="36" spans="1:14" x14ac:dyDescent="0.25">
      <c r="A36" s="271" t="s">
        <v>78</v>
      </c>
      <c r="B36" s="272" t="s">
        <v>402</v>
      </c>
      <c r="C36" s="273"/>
      <c r="D36" s="273"/>
      <c r="E36" s="273"/>
      <c r="F36" s="273"/>
      <c r="G36" s="273"/>
      <c r="H36" s="273"/>
      <c r="I36" s="267"/>
      <c r="J36" s="267"/>
      <c r="K36" s="267"/>
      <c r="L36" s="267"/>
      <c r="M36" s="267"/>
      <c r="N36" s="267"/>
    </row>
    <row r="37" spans="1:14" x14ac:dyDescent="0.25">
      <c r="A37" s="274"/>
      <c r="B37" s="272" t="s">
        <v>389</v>
      </c>
      <c r="C37" s="273"/>
      <c r="D37" s="273"/>
      <c r="E37" s="273"/>
      <c r="F37" s="273"/>
      <c r="G37" s="273"/>
      <c r="H37" s="273"/>
      <c r="I37" s="267"/>
      <c r="J37" s="267"/>
      <c r="K37" s="267"/>
      <c r="L37" s="267"/>
      <c r="M37" s="267"/>
      <c r="N37" s="267"/>
    </row>
    <row r="38" spans="1:14" x14ac:dyDescent="0.25">
      <c r="A38" s="274"/>
      <c r="B38" s="272" t="s">
        <v>388</v>
      </c>
      <c r="C38" s="273"/>
      <c r="D38" s="273"/>
      <c r="E38" s="273"/>
      <c r="F38" s="273"/>
      <c r="G38" s="273"/>
      <c r="H38" s="273"/>
      <c r="I38" s="267"/>
      <c r="J38" s="267"/>
      <c r="K38" s="267"/>
      <c r="L38" s="267"/>
      <c r="M38" s="267"/>
      <c r="N38" s="267"/>
    </row>
    <row r="39" spans="1:14" ht="5.0999999999999996" customHeight="1" x14ac:dyDescent="0.25">
      <c r="A39" s="28"/>
      <c r="B39" s="13"/>
      <c r="C39" s="24"/>
      <c r="D39" s="24"/>
      <c r="E39" s="24"/>
      <c r="F39" s="24"/>
      <c r="G39" s="24"/>
      <c r="H39" s="24"/>
    </row>
    <row r="40" spans="1:14" x14ac:dyDescent="0.25">
      <c r="A40" s="40" t="s">
        <v>82</v>
      </c>
      <c r="B40" s="13" t="s">
        <v>110</v>
      </c>
    </row>
    <row r="41" spans="1:14" x14ac:dyDescent="0.25">
      <c r="A41" s="28"/>
      <c r="B41" s="13" t="s">
        <v>123</v>
      </c>
    </row>
    <row r="42" spans="1:14" ht="5.0999999999999996" customHeight="1" x14ac:dyDescent="0.25">
      <c r="A42" s="28"/>
      <c r="B42" s="13"/>
    </row>
    <row r="43" spans="1:14" x14ac:dyDescent="0.25">
      <c r="A43" s="40" t="s">
        <v>103</v>
      </c>
      <c r="B43" t="s">
        <v>107</v>
      </c>
    </row>
    <row r="44" spans="1:14" x14ac:dyDescent="0.25">
      <c r="A44" s="28"/>
      <c r="B44" t="s">
        <v>108</v>
      </c>
    </row>
    <row r="45" spans="1:14" x14ac:dyDescent="0.25">
      <c r="A45" s="28"/>
      <c r="B45" t="s">
        <v>109</v>
      </c>
    </row>
    <row r="46" spans="1:14" ht="5.0999999999999996" customHeight="1" x14ac:dyDescent="0.25">
      <c r="A46" s="28"/>
      <c r="B46" s="13"/>
    </row>
    <row r="47" spans="1:14" x14ac:dyDescent="0.25">
      <c r="A47" s="40" t="s">
        <v>77</v>
      </c>
      <c r="B47" s="13" t="s">
        <v>83</v>
      </c>
    </row>
  </sheetData>
  <sheetProtection algorithmName="SHA-512" hashValue="Aw74cIdQalG74AQDHcfc7iqnOXN0PM1/sB42on74NqTGgA85gxiBogigvqVMhvT+xZZ9wecdAPVLV/6D/cT5Lw==" saltValue="m4Vde+v6lPJEV/IekiLv3g==" spinCount="100000" sheet="1" autoFilter="0"/>
  <mergeCells count="5">
    <mergeCell ref="L5:L7"/>
    <mergeCell ref="D5:D7"/>
    <mergeCell ref="F5:F7"/>
    <mergeCell ref="H5:H7"/>
    <mergeCell ref="J5:J7"/>
  </mergeCells>
  <phoneticPr fontId="0" type="noConversion"/>
  <conditionalFormatting sqref="D32 F32 H32 J32 L32">
    <cfRule type="cellIs" dxfId="11" priority="1" stopIfTrue="1" operator="equal">
      <formula>"ERROR"</formula>
    </cfRule>
  </conditionalFormatting>
  <pageMargins left="0.25" right="0.25" top="0.45" bottom="0.45" header="0.5" footer="0.2"/>
  <pageSetup orientation="landscape" r:id="rId1"/>
  <headerFooter alignWithMargins="0">
    <oddFooter>&amp;L&amp;F &amp;A&amp;C&amp;P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65"/>
  <sheetViews>
    <sheetView zoomScaleNormal="100" workbookViewId="0">
      <selection activeCell="B4" sqref="B4"/>
    </sheetView>
  </sheetViews>
  <sheetFormatPr defaultRowHeight="13.2" x14ac:dyDescent="0.25"/>
  <cols>
    <col min="1" max="1" width="3.6640625" customWidth="1"/>
    <col min="2" max="2" width="43.109375" customWidth="1"/>
    <col min="3" max="3" width="0.6640625" customWidth="1"/>
    <col min="4" max="4" width="13.44140625" customWidth="1"/>
    <col min="5" max="5" width="0.6640625" customWidth="1"/>
    <col min="6" max="6" width="13.44140625" customWidth="1"/>
    <col min="7" max="7" width="0.6640625" customWidth="1"/>
    <col min="8" max="8" width="12.6640625" customWidth="1"/>
    <col min="9" max="9" width="0.6640625" customWidth="1"/>
    <col min="10" max="10" width="12.6640625" customWidth="1"/>
    <col min="11" max="11" width="0.6640625" customWidth="1"/>
    <col min="12" max="12" width="12.6640625" customWidth="1"/>
    <col min="13" max="13" width="0.6640625" customWidth="1"/>
    <col min="14" max="14" width="13.44140625" customWidth="1"/>
    <col min="15" max="15" width="4" customWidth="1"/>
  </cols>
  <sheetData>
    <row r="1" spans="1:14" x14ac:dyDescent="0.25">
      <c r="A1" s="1" t="str">
        <f>CONCATENATE(Info!D7," Foundations")</f>
        <v>UNC System Office Foundations</v>
      </c>
      <c r="N1" s="34" t="s">
        <v>62</v>
      </c>
    </row>
    <row r="2" spans="1:14" x14ac:dyDescent="0.25">
      <c r="A2" s="1" t="s">
        <v>457</v>
      </c>
    </row>
    <row r="3" spans="1:14" x14ac:dyDescent="0.25">
      <c r="A3" s="198" t="s">
        <v>446</v>
      </c>
    </row>
    <row r="4" spans="1:14" x14ac:dyDescent="0.25">
      <c r="D4" s="318" t="str">
        <f>Info!$D$17</f>
        <v>Name of Foundation</v>
      </c>
      <c r="F4" s="318" t="str">
        <f>Info!$D$19</f>
        <v xml:space="preserve"> </v>
      </c>
      <c r="H4" s="318">
        <f>Info!$D$21</f>
        <v>0</v>
      </c>
      <c r="J4" s="318">
        <f>Info!$D$23</f>
        <v>0</v>
      </c>
      <c r="L4" s="318">
        <f>Info!$D$25</f>
        <v>0</v>
      </c>
    </row>
    <row r="5" spans="1:14" x14ac:dyDescent="0.25">
      <c r="D5" s="318"/>
      <c r="F5" s="318"/>
      <c r="G5" s="28"/>
      <c r="H5" s="318"/>
      <c r="I5" s="28"/>
      <c r="J5" s="318"/>
      <c r="K5" s="28"/>
      <c r="L5" s="318"/>
      <c r="M5" s="28"/>
      <c r="N5" s="28"/>
    </row>
    <row r="6" spans="1:14" x14ac:dyDescent="0.25">
      <c r="D6" s="319"/>
      <c r="F6" s="319"/>
      <c r="G6" s="29"/>
      <c r="H6" s="319"/>
      <c r="I6" s="29"/>
      <c r="J6" s="319"/>
      <c r="K6" s="28"/>
      <c r="L6" s="319"/>
      <c r="M6" s="29"/>
      <c r="N6" s="4" t="s">
        <v>7</v>
      </c>
    </row>
    <row r="7" spans="1:14" ht="15.6" x14ac:dyDescent="0.25">
      <c r="A7" s="322" t="s">
        <v>458</v>
      </c>
      <c r="B7" s="322"/>
      <c r="D7" s="28"/>
      <c r="F7" s="28"/>
      <c r="G7" s="29"/>
      <c r="H7" s="28"/>
      <c r="I7" s="29"/>
      <c r="J7" s="28"/>
      <c r="K7" s="28"/>
      <c r="L7" s="28"/>
      <c r="M7" s="29"/>
      <c r="N7" s="28"/>
    </row>
    <row r="8" spans="1:14" x14ac:dyDescent="0.25">
      <c r="D8" s="28"/>
      <c r="F8" s="28"/>
      <c r="G8" s="29"/>
      <c r="H8" s="28"/>
      <c r="I8" s="29"/>
      <c r="J8" s="28"/>
      <c r="K8" s="28"/>
      <c r="L8" s="28"/>
      <c r="M8" s="29"/>
      <c r="N8" s="28"/>
    </row>
    <row r="9" spans="1:14" x14ac:dyDescent="0.25">
      <c r="B9" s="1" t="s">
        <v>1</v>
      </c>
      <c r="D9" s="28"/>
      <c r="F9" s="28"/>
      <c r="G9" s="29"/>
      <c r="H9" s="28"/>
      <c r="I9" s="29"/>
      <c r="J9" s="28"/>
      <c r="K9" s="28"/>
      <c r="L9" s="28"/>
      <c r="M9" s="29"/>
      <c r="N9" s="28"/>
    </row>
    <row r="10" spans="1:14" ht="15.6" x14ac:dyDescent="0.25">
      <c r="B10" s="13" t="s">
        <v>247</v>
      </c>
      <c r="D10" s="53"/>
      <c r="E10" s="95"/>
      <c r="F10" s="53"/>
      <c r="G10" s="96"/>
      <c r="H10" s="53"/>
      <c r="I10" s="96"/>
      <c r="J10" s="53"/>
      <c r="K10" s="97"/>
      <c r="L10" s="53"/>
      <c r="M10" s="29"/>
      <c r="N10" s="9"/>
    </row>
    <row r="11" spans="1:14" x14ac:dyDescent="0.25">
      <c r="A11" s="78">
        <v>130</v>
      </c>
      <c r="B11" s="3" t="s">
        <v>236</v>
      </c>
      <c r="D11" s="53">
        <v>0</v>
      </c>
      <c r="E11" s="95"/>
      <c r="F11" s="53">
        <v>0</v>
      </c>
      <c r="G11" s="96"/>
      <c r="H11" s="53">
        <v>0</v>
      </c>
      <c r="I11" s="96"/>
      <c r="J11" s="53">
        <v>0</v>
      </c>
      <c r="K11" s="97"/>
      <c r="L11" s="53">
        <v>0</v>
      </c>
      <c r="M11" s="29"/>
      <c r="N11" s="9">
        <f>D11+F11+H11+J11+L11</f>
        <v>0</v>
      </c>
    </row>
    <row r="12" spans="1:14" x14ac:dyDescent="0.25">
      <c r="A12" s="78">
        <v>105</v>
      </c>
      <c r="B12" s="3" t="s">
        <v>216</v>
      </c>
      <c r="D12" s="54">
        <v>0</v>
      </c>
      <c r="F12" s="54">
        <v>0</v>
      </c>
      <c r="G12" s="29"/>
      <c r="H12" s="54">
        <v>0</v>
      </c>
      <c r="I12" s="29"/>
      <c r="J12" s="54">
        <v>0</v>
      </c>
      <c r="K12" s="28"/>
      <c r="L12" s="54">
        <v>0</v>
      </c>
      <c r="M12" s="29"/>
      <c r="N12" s="6">
        <f>D12+F12+H12+J12+L12</f>
        <v>0</v>
      </c>
    </row>
    <row r="13" spans="1:14" ht="15.6" x14ac:dyDescent="0.25">
      <c r="B13" s="13" t="s">
        <v>244</v>
      </c>
      <c r="D13" s="28"/>
      <c r="F13" s="28"/>
      <c r="G13" s="29"/>
      <c r="H13" s="28"/>
      <c r="I13" s="29"/>
      <c r="J13" s="28"/>
      <c r="K13" s="28"/>
      <c r="L13" s="28"/>
      <c r="M13" s="29"/>
      <c r="N13" s="28"/>
    </row>
    <row r="14" spans="1:14" x14ac:dyDescent="0.25">
      <c r="A14" s="78">
        <v>130</v>
      </c>
      <c r="B14" s="3" t="s">
        <v>236</v>
      </c>
      <c r="D14" s="54">
        <v>0</v>
      </c>
      <c r="F14" s="54">
        <v>0</v>
      </c>
      <c r="G14" s="29"/>
      <c r="H14" s="54">
        <v>0</v>
      </c>
      <c r="I14" s="29"/>
      <c r="J14" s="54">
        <v>0</v>
      </c>
      <c r="K14" s="28"/>
      <c r="L14" s="54">
        <v>0</v>
      </c>
      <c r="M14" s="29"/>
      <c r="N14" s="6">
        <f>D14+F14+H14+J14+L14</f>
        <v>0</v>
      </c>
    </row>
    <row r="15" spans="1:14" x14ac:dyDescent="0.25">
      <c r="A15" s="78">
        <v>105</v>
      </c>
      <c r="B15" s="3" t="s">
        <v>216</v>
      </c>
      <c r="D15" s="54">
        <v>0</v>
      </c>
      <c r="F15" s="54">
        <v>0</v>
      </c>
      <c r="G15" s="29"/>
      <c r="H15" s="54">
        <v>0</v>
      </c>
      <c r="I15" s="29"/>
      <c r="J15" s="54">
        <v>0</v>
      </c>
      <c r="K15" s="28"/>
      <c r="L15" s="54">
        <v>0</v>
      </c>
      <c r="M15" s="29"/>
      <c r="N15" s="6">
        <f>D15+F15+H15+J15+L15</f>
        <v>0</v>
      </c>
    </row>
    <row r="16" spans="1:14" x14ac:dyDescent="0.25">
      <c r="B16" s="13" t="s">
        <v>240</v>
      </c>
      <c r="D16" s="28"/>
      <c r="F16" s="28"/>
      <c r="G16" s="29"/>
      <c r="H16" s="28"/>
      <c r="I16" s="29"/>
      <c r="J16" s="28"/>
      <c r="K16" s="28"/>
      <c r="L16" s="28"/>
      <c r="M16" s="29"/>
      <c r="N16" s="28"/>
    </row>
    <row r="17" spans="1:14" x14ac:dyDescent="0.25">
      <c r="A17" s="36">
        <v>130</v>
      </c>
      <c r="B17" s="3" t="s">
        <v>236</v>
      </c>
      <c r="D17" s="54">
        <v>0</v>
      </c>
      <c r="F17" s="54">
        <v>0</v>
      </c>
      <c r="G17" s="29"/>
      <c r="H17" s="54">
        <v>0</v>
      </c>
      <c r="I17" s="29"/>
      <c r="J17" s="54">
        <v>0</v>
      </c>
      <c r="K17" s="28"/>
      <c r="L17" s="54">
        <v>0</v>
      </c>
      <c r="M17" s="29"/>
      <c r="N17" s="54">
        <f>D17+F17+H17+J17+L17</f>
        <v>0</v>
      </c>
    </row>
    <row r="18" spans="1:14" x14ac:dyDescent="0.25">
      <c r="A18" s="36">
        <v>105</v>
      </c>
      <c r="B18" s="3" t="s">
        <v>216</v>
      </c>
      <c r="D18" s="54">
        <v>0</v>
      </c>
      <c r="F18" s="54">
        <v>0</v>
      </c>
      <c r="G18" s="29"/>
      <c r="H18" s="54">
        <v>0</v>
      </c>
      <c r="I18" s="29"/>
      <c r="J18" s="54">
        <v>0</v>
      </c>
      <c r="K18" s="28"/>
      <c r="L18" s="54">
        <v>0</v>
      </c>
      <c r="M18" s="29"/>
      <c r="N18" s="7">
        <f>D18+F18+H18+J18+L18</f>
        <v>0</v>
      </c>
    </row>
    <row r="19" spans="1:14" x14ac:dyDescent="0.25">
      <c r="B19" s="25" t="s">
        <v>7</v>
      </c>
      <c r="D19" s="39">
        <f>SUM(D11:D18)</f>
        <v>0</v>
      </c>
      <c r="F19" s="39">
        <f>SUM(F11:F18)</f>
        <v>0</v>
      </c>
      <c r="G19" s="29"/>
      <c r="H19" s="39">
        <f>SUM(H11:H18)</f>
        <v>0</v>
      </c>
      <c r="I19" s="29"/>
      <c r="J19" s="39">
        <f>SUM(J11:J18)</f>
        <v>0</v>
      </c>
      <c r="K19" s="28"/>
      <c r="L19" s="39">
        <f>SUM(L11:L18)</f>
        <v>0</v>
      </c>
      <c r="M19" s="29"/>
      <c r="N19" s="8">
        <f>D19+F19+H19+J19+L19</f>
        <v>0</v>
      </c>
    </row>
    <row r="20" spans="1:14" x14ac:dyDescent="0.25">
      <c r="B20" s="24" t="s">
        <v>41</v>
      </c>
      <c r="D20" s="47" t="str">
        <f>IF(D19='Exh A'!D10,"OK","ERROR")</f>
        <v>OK</v>
      </c>
      <c r="F20" s="47" t="str">
        <f>IF(F19='Exh A'!F10,"OK","ERROR")</f>
        <v>OK</v>
      </c>
      <c r="G20" s="29"/>
      <c r="H20" s="47" t="str">
        <f>IF(H19='Exh A'!H10,"OK","ERROR")</f>
        <v>OK</v>
      </c>
      <c r="I20" s="29"/>
      <c r="J20" s="47" t="str">
        <f>IF(J19='Exh A'!J10,"OK","ERROR")</f>
        <v>OK</v>
      </c>
      <c r="K20" s="28"/>
      <c r="L20" s="47" t="str">
        <f>IF(L19='Exh A'!L10,"OK","ERROR")</f>
        <v>OK</v>
      </c>
      <c r="M20" s="29"/>
      <c r="N20" s="28"/>
    </row>
    <row r="21" spans="1:14" x14ac:dyDescent="0.25">
      <c r="D21" s="28"/>
      <c r="F21" s="28"/>
      <c r="G21" s="29"/>
      <c r="H21" s="28"/>
      <c r="I21" s="29"/>
      <c r="J21" s="28"/>
      <c r="K21" s="28"/>
      <c r="L21" s="28"/>
      <c r="M21" s="29"/>
      <c r="N21" s="28"/>
    </row>
    <row r="22" spans="1:14" ht="15.6" x14ac:dyDescent="0.25">
      <c r="B22" s="1" t="s">
        <v>245</v>
      </c>
      <c r="D22" s="28"/>
      <c r="F22" s="28"/>
      <c r="G22" s="29"/>
      <c r="H22" s="28"/>
      <c r="I22" s="29"/>
      <c r="J22" s="28"/>
      <c r="K22" s="28"/>
      <c r="L22" s="28"/>
      <c r="M22" s="29"/>
      <c r="N22" s="28"/>
    </row>
    <row r="23" spans="1:14" x14ac:dyDescent="0.25">
      <c r="A23" s="36">
        <v>140</v>
      </c>
      <c r="B23" s="3" t="s">
        <v>219</v>
      </c>
      <c r="D23" s="54">
        <v>0</v>
      </c>
      <c r="F23" s="54">
        <v>0</v>
      </c>
      <c r="G23" s="29"/>
      <c r="H23" s="54">
        <v>0</v>
      </c>
      <c r="I23" s="29"/>
      <c r="J23" s="54">
        <v>0</v>
      </c>
      <c r="K23" s="28"/>
      <c r="L23" s="54">
        <v>0</v>
      </c>
      <c r="M23" s="29"/>
      <c r="N23" s="6">
        <f>D23+F23+H23+J23+L23</f>
        <v>0</v>
      </c>
    </row>
    <row r="24" spans="1:14" x14ac:dyDescent="0.25">
      <c r="A24" s="36">
        <v>145</v>
      </c>
      <c r="B24" s="3" t="s">
        <v>221</v>
      </c>
      <c r="D24" s="54">
        <v>0</v>
      </c>
      <c r="F24" s="54">
        <v>0</v>
      </c>
      <c r="G24" s="29"/>
      <c r="H24" s="54">
        <v>0</v>
      </c>
      <c r="I24" s="29"/>
      <c r="J24" s="54">
        <v>0</v>
      </c>
      <c r="K24" s="28"/>
      <c r="L24" s="54">
        <v>0</v>
      </c>
      <c r="M24" s="29"/>
      <c r="N24" s="6">
        <f>D24+F24+H24+J24+L24</f>
        <v>0</v>
      </c>
    </row>
    <row r="25" spans="1:14" x14ac:dyDescent="0.25">
      <c r="A25" s="36">
        <v>140</v>
      </c>
      <c r="B25" s="3" t="s">
        <v>220</v>
      </c>
      <c r="D25" s="54">
        <v>0</v>
      </c>
      <c r="F25" s="54">
        <v>0</v>
      </c>
      <c r="G25" s="29"/>
      <c r="H25" s="54">
        <v>0</v>
      </c>
      <c r="I25" s="29"/>
      <c r="J25" s="54">
        <v>0</v>
      </c>
      <c r="K25" s="28"/>
      <c r="L25" s="54">
        <v>0</v>
      </c>
      <c r="M25" s="29"/>
      <c r="N25" s="6">
        <f>D25+F25+H25+J25+L25</f>
        <v>0</v>
      </c>
    </row>
    <row r="26" spans="1:14" x14ac:dyDescent="0.25">
      <c r="A26" s="36">
        <v>145</v>
      </c>
      <c r="B26" s="3" t="s">
        <v>222</v>
      </c>
      <c r="D26" s="55">
        <v>0</v>
      </c>
      <c r="F26" s="55">
        <v>0</v>
      </c>
      <c r="G26" s="29"/>
      <c r="H26" s="55">
        <v>0</v>
      </c>
      <c r="I26" s="29"/>
      <c r="J26" s="55">
        <v>0</v>
      </c>
      <c r="K26" s="28"/>
      <c r="L26" s="55">
        <v>0</v>
      </c>
      <c r="M26" s="29"/>
      <c r="N26" s="7">
        <f>D26+F26+H26+J26+L26</f>
        <v>0</v>
      </c>
    </row>
    <row r="27" spans="1:14" x14ac:dyDescent="0.25">
      <c r="A27" s="36"/>
      <c r="B27" s="25" t="s">
        <v>7</v>
      </c>
      <c r="D27" s="39">
        <f>SUM(D23:D26)</f>
        <v>0</v>
      </c>
      <c r="F27" s="39">
        <f>SUM(F23:F26)</f>
        <v>0</v>
      </c>
      <c r="G27" s="29"/>
      <c r="H27" s="39">
        <f>SUM(H23:H26)</f>
        <v>0</v>
      </c>
      <c r="I27" s="29"/>
      <c r="J27" s="39">
        <f>SUM(J23:J26)</f>
        <v>0</v>
      </c>
      <c r="K27" s="28"/>
      <c r="L27" s="39">
        <f>SUM(L23:L26)</f>
        <v>0</v>
      </c>
      <c r="M27" s="29"/>
      <c r="N27" s="8">
        <f>D27+F27+H27+J27+L27</f>
        <v>0</v>
      </c>
    </row>
    <row r="28" spans="1:14" x14ac:dyDescent="0.25">
      <c r="A28" s="36"/>
      <c r="B28" s="24" t="s">
        <v>41</v>
      </c>
      <c r="D28" s="47" t="str">
        <f>IF(D27='Exh A'!D26,"OK","ERROR")</f>
        <v>OK</v>
      </c>
      <c r="E28" s="48"/>
      <c r="F28" s="47" t="str">
        <f>IF(F27='Exh A'!F26,"OK","ERROR")</f>
        <v>OK</v>
      </c>
      <c r="G28" s="49"/>
      <c r="H28" s="47" t="str">
        <f>IF(H27='Exh A'!H26,"OK","ERROR")</f>
        <v>OK</v>
      </c>
      <c r="I28" s="49"/>
      <c r="J28" s="47" t="str">
        <f>IF(J27='Exh A'!J26,"OK","ERROR")</f>
        <v>OK</v>
      </c>
      <c r="K28" s="49"/>
      <c r="L28" s="47" t="str">
        <f>IF(L27='Exh A'!L26,"OK","ERROR")</f>
        <v>OK</v>
      </c>
      <c r="M28" s="29"/>
      <c r="N28" s="28"/>
    </row>
    <row r="29" spans="1:14" x14ac:dyDescent="0.25">
      <c r="A29" s="36"/>
      <c r="B29" s="24"/>
      <c r="D29" s="28"/>
      <c r="F29" s="28"/>
      <c r="G29" s="29"/>
      <c r="H29" s="28"/>
      <c r="I29" s="29"/>
      <c r="J29" s="28"/>
      <c r="K29" s="28"/>
      <c r="L29" s="28"/>
      <c r="M29" s="29"/>
      <c r="N29" s="28"/>
    </row>
    <row r="30" spans="1:14" x14ac:dyDescent="0.25">
      <c r="A30" s="36"/>
      <c r="B30" s="1" t="s">
        <v>12</v>
      </c>
    </row>
    <row r="31" spans="1:14" x14ac:dyDescent="0.25">
      <c r="A31" s="36">
        <v>260</v>
      </c>
      <c r="B31" s="3" t="s">
        <v>39</v>
      </c>
      <c r="D31" s="56">
        <v>0</v>
      </c>
      <c r="F31" s="56">
        <v>0</v>
      </c>
      <c r="G31" s="12"/>
      <c r="H31" s="56">
        <v>0</v>
      </c>
      <c r="I31" s="12"/>
      <c r="J31" s="56">
        <v>0</v>
      </c>
      <c r="K31" s="12"/>
      <c r="L31" s="56">
        <v>0</v>
      </c>
      <c r="N31" s="6">
        <f>D31+F31+H31+J31+L31</f>
        <v>0</v>
      </c>
    </row>
    <row r="32" spans="1:14" x14ac:dyDescent="0.25">
      <c r="A32" s="36">
        <v>261</v>
      </c>
      <c r="B32" s="3" t="s">
        <v>40</v>
      </c>
      <c r="D32" s="57">
        <v>0</v>
      </c>
      <c r="F32" s="57">
        <v>0</v>
      </c>
      <c r="G32" s="12"/>
      <c r="H32" s="57">
        <v>0</v>
      </c>
      <c r="I32" s="12"/>
      <c r="J32" s="57">
        <v>0</v>
      </c>
      <c r="K32" s="12"/>
      <c r="L32" s="57">
        <v>0</v>
      </c>
      <c r="N32" s="7">
        <f>D32+F32+H32+J32+L32</f>
        <v>0</v>
      </c>
    </row>
    <row r="33" spans="1:14" x14ac:dyDescent="0.25">
      <c r="A33" s="36"/>
      <c r="B33" s="25" t="s">
        <v>7</v>
      </c>
      <c r="D33" s="10">
        <f>SUM(D31:D32)</f>
        <v>0</v>
      </c>
      <c r="F33" s="10">
        <f>SUM(F31:F32)</f>
        <v>0</v>
      </c>
      <c r="G33" s="12"/>
      <c r="H33" s="10">
        <f>SUM(H31:H32)</f>
        <v>0</v>
      </c>
      <c r="I33" s="12"/>
      <c r="J33" s="10">
        <f>SUM(J31:J32)</f>
        <v>0</v>
      </c>
      <c r="K33" s="12"/>
      <c r="L33" s="10">
        <f>SUM(L31:L32)</f>
        <v>0</v>
      </c>
      <c r="N33" s="8">
        <f>D33+F33+H33+J33+L33</f>
        <v>0</v>
      </c>
    </row>
    <row r="34" spans="1:14" x14ac:dyDescent="0.25">
      <c r="A34" s="36"/>
      <c r="B34" s="24" t="s">
        <v>41</v>
      </c>
      <c r="D34" s="47" t="str">
        <f>IF(D33='Exh A'!D38,"OK","ERROR")</f>
        <v>OK</v>
      </c>
      <c r="F34" s="47" t="str">
        <f>IF(F33='Exh A'!F38,"OK","ERROR")</f>
        <v>OK</v>
      </c>
      <c r="H34" s="47" t="str">
        <f>IF(H33='Exh A'!H38,"OK","ERROR")</f>
        <v>OK</v>
      </c>
      <c r="J34" s="47" t="str">
        <f>IF(J33='Exh A'!J38,"OK","ERROR")</f>
        <v>OK</v>
      </c>
      <c r="L34" s="47" t="str">
        <f>IF(L33='Exh A'!L38,"OK","ERROR")</f>
        <v>OK</v>
      </c>
    </row>
    <row r="35" spans="1:14" x14ac:dyDescent="0.25">
      <c r="A35" s="36"/>
      <c r="B35" s="24"/>
      <c r="D35" s="28"/>
      <c r="F35" s="28"/>
      <c r="G35" s="29"/>
      <c r="H35" s="28"/>
      <c r="I35" s="29"/>
      <c r="J35" s="28"/>
      <c r="K35" s="28"/>
      <c r="L35" s="28"/>
      <c r="M35" s="29"/>
      <c r="N35" s="28"/>
    </row>
    <row r="36" spans="1:14" x14ac:dyDescent="0.25">
      <c r="A36" s="36"/>
      <c r="B36" s="1" t="s">
        <v>71</v>
      </c>
    </row>
    <row r="37" spans="1:14" x14ac:dyDescent="0.25">
      <c r="A37" s="36">
        <v>260</v>
      </c>
      <c r="B37" s="3" t="s">
        <v>39</v>
      </c>
      <c r="D37" s="56">
        <v>0</v>
      </c>
      <c r="F37" s="56">
        <v>0</v>
      </c>
      <c r="G37" s="12"/>
      <c r="H37" s="56">
        <v>0</v>
      </c>
      <c r="I37" s="12"/>
      <c r="J37" s="56">
        <v>0</v>
      </c>
      <c r="K37" s="12"/>
      <c r="L37" s="56">
        <v>0</v>
      </c>
      <c r="N37" s="6">
        <f>D37+F37+H37+J37+L37</f>
        <v>0</v>
      </c>
    </row>
    <row r="38" spans="1:14" x14ac:dyDescent="0.25">
      <c r="A38" s="36">
        <v>261</v>
      </c>
      <c r="B38" s="3" t="s">
        <v>40</v>
      </c>
      <c r="D38" s="57">
        <v>0</v>
      </c>
      <c r="F38" s="57">
        <v>0</v>
      </c>
      <c r="G38" s="12"/>
      <c r="H38" s="57">
        <v>0</v>
      </c>
      <c r="I38" s="12"/>
      <c r="J38" s="57">
        <v>0</v>
      </c>
      <c r="K38" s="12"/>
      <c r="L38" s="57">
        <v>0</v>
      </c>
      <c r="N38" s="7">
        <f>D38+F38+H38+J38+L38</f>
        <v>0</v>
      </c>
    </row>
    <row r="39" spans="1:14" x14ac:dyDescent="0.25">
      <c r="A39" s="36"/>
      <c r="B39" s="25" t="s">
        <v>7</v>
      </c>
      <c r="D39" s="10">
        <f>SUM(D37:D38)</f>
        <v>0</v>
      </c>
      <c r="F39" s="10">
        <f>SUM(F37:F38)</f>
        <v>0</v>
      </c>
      <c r="G39" s="12"/>
      <c r="H39" s="10">
        <f>SUM(H37:H38)</f>
        <v>0</v>
      </c>
      <c r="I39" s="12"/>
      <c r="J39" s="10">
        <f>SUM(J37:J38)</f>
        <v>0</v>
      </c>
      <c r="K39" s="12"/>
      <c r="L39" s="10">
        <f>SUM(L37:L38)</f>
        <v>0</v>
      </c>
      <c r="N39" s="8">
        <f>D39+F39+H39+J39+L39</f>
        <v>0</v>
      </c>
    </row>
    <row r="40" spans="1:14" x14ac:dyDescent="0.25">
      <c r="A40" s="36"/>
      <c r="B40" s="24" t="s">
        <v>41</v>
      </c>
      <c r="D40" s="47" t="str">
        <f>IF(D39='Exh A'!D39,"OK","ERROR")</f>
        <v>OK</v>
      </c>
      <c r="F40" s="47" t="str">
        <f>IF(F39='Exh A'!F39,"OK","ERROR")</f>
        <v>OK</v>
      </c>
      <c r="H40" s="47" t="str">
        <f>IF(H39='Exh A'!H39,"OK","ERROR")</f>
        <v>OK</v>
      </c>
      <c r="J40" s="47" t="str">
        <f>IF(J39='Exh A'!J39,"OK","ERROR")</f>
        <v>OK</v>
      </c>
      <c r="L40" s="47" t="str">
        <f>IF(L39='Exh A'!L39,"OK","ERROR")</f>
        <v>OK</v>
      </c>
    </row>
    <row r="41" spans="1:14" x14ac:dyDescent="0.25">
      <c r="A41" s="36"/>
      <c r="B41" s="24"/>
    </row>
    <row r="42" spans="1:14" x14ac:dyDescent="0.25">
      <c r="A42" s="36"/>
      <c r="B42" s="1" t="s">
        <v>69</v>
      </c>
    </row>
    <row r="43" spans="1:14" x14ac:dyDescent="0.25">
      <c r="A43" s="36">
        <v>260</v>
      </c>
      <c r="B43" s="3" t="s">
        <v>39</v>
      </c>
      <c r="D43" s="56">
        <v>0</v>
      </c>
      <c r="F43" s="56">
        <v>0</v>
      </c>
      <c r="G43" s="6"/>
      <c r="H43" s="56">
        <v>0</v>
      </c>
      <c r="I43" s="6"/>
      <c r="J43" s="56">
        <v>0</v>
      </c>
      <c r="K43" s="6"/>
      <c r="L43" s="56">
        <v>0</v>
      </c>
      <c r="N43" s="12">
        <f>D43+F43+H43+J43+L43</f>
        <v>0</v>
      </c>
    </row>
    <row r="44" spans="1:14" x14ac:dyDescent="0.25">
      <c r="A44" s="36">
        <v>261</v>
      </c>
      <c r="B44" s="3" t="s">
        <v>40</v>
      </c>
      <c r="D44" s="55">
        <v>0</v>
      </c>
      <c r="F44" s="55">
        <v>0</v>
      </c>
      <c r="G44" s="6"/>
      <c r="H44" s="55">
        <v>0</v>
      </c>
      <c r="I44" s="6"/>
      <c r="J44" s="55">
        <v>0</v>
      </c>
      <c r="K44" s="6"/>
      <c r="L44" s="55">
        <v>0</v>
      </c>
      <c r="N44" s="7">
        <f>D44+F44+H44+J44+L44</f>
        <v>0</v>
      </c>
    </row>
    <row r="45" spans="1:14" x14ac:dyDescent="0.25">
      <c r="A45" s="36"/>
      <c r="B45" s="25" t="s">
        <v>7</v>
      </c>
      <c r="D45" s="22">
        <f>SUM(D43:D44)</f>
        <v>0</v>
      </c>
      <c r="F45" s="22">
        <f>SUM(F43:F44)</f>
        <v>0</v>
      </c>
      <c r="G45" s="12"/>
      <c r="H45" s="22">
        <f>SUM(H43:H44)</f>
        <v>0</v>
      </c>
      <c r="I45" s="12"/>
      <c r="J45" s="22">
        <f>SUM(J43:J44)</f>
        <v>0</v>
      </c>
      <c r="K45" s="12"/>
      <c r="L45" s="22">
        <f>SUM(L43:L44)</f>
        <v>0</v>
      </c>
      <c r="N45" s="8">
        <f>D45+F45+H45+J45+L45</f>
        <v>0</v>
      </c>
    </row>
    <row r="46" spans="1:14" x14ac:dyDescent="0.25">
      <c r="A46" s="36"/>
      <c r="B46" s="24" t="s">
        <v>41</v>
      </c>
      <c r="D46" s="47" t="str">
        <f>IF(D45='Exh A'!D40,"OK","ERROR")</f>
        <v>OK</v>
      </c>
      <c r="F46" s="47" t="str">
        <f>IF(F45='Exh A'!F40,"OK","ERROR")</f>
        <v>OK</v>
      </c>
      <c r="H46" s="47" t="str">
        <f>IF(H45='Exh A'!H40,"OK","ERROR")</f>
        <v>OK</v>
      </c>
      <c r="J46" s="47" t="str">
        <f>IF(J45='Exh A'!J40,"OK","ERROR")</f>
        <v>OK</v>
      </c>
      <c r="L46" s="47" t="str">
        <f>IF(L45='Exh A'!L40,"OK","ERROR")</f>
        <v>OK</v>
      </c>
    </row>
    <row r="47" spans="1:14" x14ac:dyDescent="0.25">
      <c r="A47" s="36"/>
      <c r="B47" s="24"/>
    </row>
    <row r="48" spans="1:14" x14ac:dyDescent="0.25">
      <c r="A48" s="36"/>
      <c r="B48" s="1" t="s">
        <v>13</v>
      </c>
    </row>
    <row r="49" spans="1:14" x14ac:dyDescent="0.25">
      <c r="A49" s="36">
        <v>260</v>
      </c>
      <c r="B49" s="3" t="s">
        <v>39</v>
      </c>
      <c r="D49" s="56">
        <v>0</v>
      </c>
      <c r="F49" s="56">
        <v>0</v>
      </c>
      <c r="G49" s="6"/>
      <c r="H49" s="56">
        <v>0</v>
      </c>
      <c r="I49" s="6"/>
      <c r="J49" s="56">
        <v>0</v>
      </c>
      <c r="K49" s="6"/>
      <c r="L49" s="56">
        <v>0</v>
      </c>
      <c r="N49" s="12">
        <f>D49+F49+H49+J49+L49</f>
        <v>0</v>
      </c>
    </row>
    <row r="50" spans="1:14" x14ac:dyDescent="0.25">
      <c r="A50" s="36">
        <v>261</v>
      </c>
      <c r="B50" s="3" t="s">
        <v>40</v>
      </c>
      <c r="D50" s="55">
        <v>0</v>
      </c>
      <c r="F50" s="55">
        <v>0</v>
      </c>
      <c r="G50" s="6"/>
      <c r="H50" s="55">
        <v>0</v>
      </c>
      <c r="I50" s="6"/>
      <c r="J50" s="55">
        <v>0</v>
      </c>
      <c r="K50" s="6"/>
      <c r="L50" s="55">
        <v>0</v>
      </c>
      <c r="N50" s="7">
        <f>D50+F50+H50+J50+L50</f>
        <v>0</v>
      </c>
    </row>
    <row r="51" spans="1:14" x14ac:dyDescent="0.25">
      <c r="A51" s="36"/>
      <c r="B51" s="25" t="s">
        <v>7</v>
      </c>
      <c r="D51" s="22">
        <f>SUM(D49:D50)</f>
        <v>0</v>
      </c>
      <c r="F51" s="22">
        <f>SUM(F49:F50)</f>
        <v>0</v>
      </c>
      <c r="G51" s="12"/>
      <c r="H51" s="22">
        <f>SUM(H49:H50)</f>
        <v>0</v>
      </c>
      <c r="I51" s="12"/>
      <c r="J51" s="22">
        <f>SUM(J49:J50)</f>
        <v>0</v>
      </c>
      <c r="K51" s="12"/>
      <c r="L51" s="22">
        <f>SUM(L49:L50)</f>
        <v>0</v>
      </c>
      <c r="N51" s="8">
        <f>D51+F51+H51+J51+L51</f>
        <v>0</v>
      </c>
    </row>
    <row r="52" spans="1:14" x14ac:dyDescent="0.25">
      <c r="A52" s="36"/>
      <c r="B52" s="24" t="s">
        <v>41</v>
      </c>
      <c r="D52" s="47" t="str">
        <f>IF(D51='Exh A'!D41,"OK","ERROR")</f>
        <v>OK</v>
      </c>
      <c r="F52" s="47" t="str">
        <f>IF(F51='Exh A'!F41,"OK","ERROR")</f>
        <v>OK</v>
      </c>
      <c r="H52" s="47" t="str">
        <f>IF(H51='Exh A'!H41,"OK","ERROR")</f>
        <v>OK</v>
      </c>
      <c r="J52" s="47" t="str">
        <f>IF(J51='Exh A'!J41,"OK","ERROR")</f>
        <v>OK</v>
      </c>
      <c r="L52" s="47" t="str">
        <f>IF(L51='Exh A'!L41,"OK","ERROR")</f>
        <v>OK</v>
      </c>
    </row>
    <row r="53" spans="1:14" x14ac:dyDescent="0.25">
      <c r="A53" s="36"/>
      <c r="B53" s="24"/>
    </row>
    <row r="54" spans="1:14" x14ac:dyDescent="0.25">
      <c r="A54" s="36"/>
      <c r="B54" s="1" t="s">
        <v>54</v>
      </c>
    </row>
    <row r="55" spans="1:14" x14ac:dyDescent="0.25">
      <c r="A55" s="36">
        <v>260</v>
      </c>
      <c r="B55" s="3" t="s">
        <v>39</v>
      </c>
      <c r="D55" s="56">
        <v>0</v>
      </c>
      <c r="F55" s="56">
        <v>0</v>
      </c>
      <c r="G55" s="12"/>
      <c r="H55" s="56">
        <v>0</v>
      </c>
      <c r="I55" s="12"/>
      <c r="J55" s="56">
        <v>0</v>
      </c>
      <c r="K55" s="12"/>
      <c r="L55" s="56">
        <v>0</v>
      </c>
      <c r="N55" s="6">
        <f>D55+F55+H55+J55+L55</f>
        <v>0</v>
      </c>
    </row>
    <row r="56" spans="1:14" x14ac:dyDescent="0.25">
      <c r="A56" s="36">
        <v>261</v>
      </c>
      <c r="B56" s="3" t="s">
        <v>40</v>
      </c>
      <c r="D56" s="57">
        <v>0</v>
      </c>
      <c r="F56" s="57">
        <v>0</v>
      </c>
      <c r="G56" s="12"/>
      <c r="H56" s="57">
        <v>0</v>
      </c>
      <c r="I56" s="12"/>
      <c r="J56" s="57">
        <v>0</v>
      </c>
      <c r="K56" s="12"/>
      <c r="L56" s="57">
        <v>0</v>
      </c>
      <c r="N56" s="7">
        <f>D56+F56+H56+J56+L56</f>
        <v>0</v>
      </c>
    </row>
    <row r="57" spans="1:14" x14ac:dyDescent="0.25">
      <c r="A57" s="36"/>
      <c r="B57" s="25" t="s">
        <v>7</v>
      </c>
      <c r="D57" s="10">
        <f>SUM(D55:D56)</f>
        <v>0</v>
      </c>
      <c r="F57" s="10">
        <f>SUM(F55:F56)</f>
        <v>0</v>
      </c>
      <c r="G57" s="12"/>
      <c r="H57" s="10">
        <f>SUM(H55:H56)</f>
        <v>0</v>
      </c>
      <c r="I57" s="12"/>
      <c r="J57" s="10">
        <f>SUM(J55:J56)</f>
        <v>0</v>
      </c>
      <c r="K57" s="12"/>
      <c r="L57" s="10">
        <f>SUM(L55:L56)</f>
        <v>0</v>
      </c>
      <c r="N57" s="8">
        <f>D57+F57+H57+J57+L57</f>
        <v>0</v>
      </c>
    </row>
    <row r="58" spans="1:14" x14ac:dyDescent="0.25">
      <c r="A58" s="36"/>
      <c r="B58" s="24" t="s">
        <v>41</v>
      </c>
      <c r="D58" s="47" t="str">
        <f>IF(D57='Exh A'!D42,"OK","ERROR")</f>
        <v>OK</v>
      </c>
      <c r="F58" s="47" t="str">
        <f>IF(F57='Exh A'!F42,"OK","ERROR")</f>
        <v>OK</v>
      </c>
      <c r="H58" s="47" t="str">
        <f>IF(H57='Exh A'!H42,"OK","ERROR")</f>
        <v>OK</v>
      </c>
      <c r="J58" s="47" t="str">
        <f>IF(J57='Exh A'!J42,"OK","ERROR")</f>
        <v>OK</v>
      </c>
      <c r="L58" s="47" t="str">
        <f>IF(L57='Exh A'!L42,"OK","ERROR")</f>
        <v>OK</v>
      </c>
    </row>
    <row r="59" spans="1:14" x14ac:dyDescent="0.25">
      <c r="A59" s="36"/>
      <c r="B59" s="24"/>
    </row>
    <row r="60" spans="1:14" x14ac:dyDescent="0.25">
      <c r="A60" s="36"/>
      <c r="B60" s="1" t="s">
        <v>104</v>
      </c>
    </row>
    <row r="61" spans="1:14" x14ac:dyDescent="0.25">
      <c r="A61" s="36">
        <v>500</v>
      </c>
      <c r="B61" s="3" t="s">
        <v>42</v>
      </c>
      <c r="D61" s="56">
        <v>0</v>
      </c>
      <c r="F61" s="56">
        <v>0</v>
      </c>
      <c r="G61" s="12"/>
      <c r="H61" s="56">
        <v>0</v>
      </c>
      <c r="I61" s="12"/>
      <c r="J61" s="56">
        <v>0</v>
      </c>
      <c r="K61" s="12"/>
      <c r="L61" s="56">
        <v>0</v>
      </c>
      <c r="N61" s="6">
        <f>D61+F61+H61+J61+L61</f>
        <v>0</v>
      </c>
    </row>
    <row r="62" spans="1:14" x14ac:dyDescent="0.25">
      <c r="A62" s="36">
        <v>510</v>
      </c>
      <c r="B62" s="3" t="s">
        <v>43</v>
      </c>
      <c r="D62" s="56">
        <v>0</v>
      </c>
      <c r="F62" s="56">
        <v>0</v>
      </c>
      <c r="G62" s="12"/>
      <c r="H62" s="56">
        <v>0</v>
      </c>
      <c r="I62" s="12"/>
      <c r="J62" s="56">
        <v>0</v>
      </c>
      <c r="K62" s="12"/>
      <c r="L62" s="56">
        <v>0</v>
      </c>
      <c r="N62" s="6">
        <f>D62+F62+H62+J62+L62</f>
        <v>0</v>
      </c>
    </row>
    <row r="63" spans="1:14" x14ac:dyDescent="0.25">
      <c r="A63" s="36">
        <v>520</v>
      </c>
      <c r="B63" s="3" t="s">
        <v>45</v>
      </c>
      <c r="D63" s="57">
        <v>0</v>
      </c>
      <c r="F63" s="57">
        <v>0</v>
      </c>
      <c r="G63" s="12"/>
      <c r="H63" s="57">
        <v>0</v>
      </c>
      <c r="I63" s="12"/>
      <c r="J63" s="57">
        <v>0</v>
      </c>
      <c r="K63" s="12"/>
      <c r="L63" s="57">
        <v>0</v>
      </c>
      <c r="N63" s="7">
        <f>D63+F63+H63+J63+L63</f>
        <v>0</v>
      </c>
    </row>
    <row r="64" spans="1:14" x14ac:dyDescent="0.25">
      <c r="A64" s="36"/>
      <c r="B64" s="25" t="s">
        <v>7</v>
      </c>
      <c r="D64" s="22">
        <f>SUM(D61:D63)</f>
        <v>0</v>
      </c>
      <c r="F64" s="22">
        <f>SUM(F61:F63)</f>
        <v>0</v>
      </c>
      <c r="G64" s="12"/>
      <c r="H64" s="22">
        <f>SUM(H61:H63)</f>
        <v>0</v>
      </c>
      <c r="I64" s="12"/>
      <c r="J64" s="22">
        <f>SUM(J61:J63)</f>
        <v>0</v>
      </c>
      <c r="K64" s="12"/>
      <c r="L64" s="22">
        <f>SUM(L61:L63)</f>
        <v>0</v>
      </c>
      <c r="N64" s="8">
        <f>D64+F64+H64+J64+L64</f>
        <v>0</v>
      </c>
    </row>
    <row r="65" spans="1:14" x14ac:dyDescent="0.25">
      <c r="A65" s="36"/>
      <c r="B65" s="24" t="s">
        <v>64</v>
      </c>
      <c r="D65" s="47" t="str">
        <f>IF(D64='Exh B'!D9,"OK","ERROR")</f>
        <v>OK</v>
      </c>
      <c r="F65" s="47" t="str">
        <f>IF(F64='Exh B'!F9,"OK","ERROR")</f>
        <v>OK</v>
      </c>
      <c r="H65" s="47" t="str">
        <f>IF(H64='Exh B'!H9,"OK","ERROR")</f>
        <v>OK</v>
      </c>
      <c r="J65" s="47" t="str">
        <f>IF(J64='Exh B'!J9,"OK","ERROR")</f>
        <v>OK</v>
      </c>
      <c r="L65" s="47" t="str">
        <f>IF(L64='Exh B'!L9,"OK","ERROR")</f>
        <v>OK</v>
      </c>
    </row>
    <row r="66" spans="1:14" ht="18" customHeight="1" x14ac:dyDescent="0.25">
      <c r="A66" s="36"/>
      <c r="B66" s="24"/>
      <c r="D66" s="47"/>
      <c r="F66" s="47"/>
      <c r="H66" s="47"/>
      <c r="J66" s="47"/>
      <c r="L66" s="47"/>
    </row>
    <row r="67" spans="1:14" x14ac:dyDescent="0.25">
      <c r="A67" s="322" t="s">
        <v>459</v>
      </c>
      <c r="B67" s="322"/>
    </row>
    <row r="68" spans="1:14" ht="12" customHeight="1" x14ac:dyDescent="0.25">
      <c r="A68" s="50"/>
      <c r="B68" s="50"/>
    </row>
    <row r="69" spans="1:14" ht="15.6" x14ac:dyDescent="0.25">
      <c r="A69" s="36"/>
      <c r="B69" s="1" t="s">
        <v>246</v>
      </c>
    </row>
    <row r="70" spans="1:14" x14ac:dyDescent="0.25">
      <c r="A70" s="36">
        <v>604</v>
      </c>
      <c r="B70" s="3" t="s">
        <v>226</v>
      </c>
      <c r="D70" s="56">
        <v>0</v>
      </c>
      <c r="F70" s="56">
        <v>0</v>
      </c>
      <c r="H70" s="56">
        <v>0</v>
      </c>
      <c r="J70" s="56">
        <v>0</v>
      </c>
      <c r="K70" s="12"/>
      <c r="L70" s="56">
        <v>0</v>
      </c>
      <c r="N70" s="6">
        <f>D70+F70+H70+J70+L70</f>
        <v>0</v>
      </c>
    </row>
    <row r="71" spans="1:14" x14ac:dyDescent="0.25">
      <c r="A71" s="36">
        <v>600</v>
      </c>
      <c r="B71" s="3" t="s">
        <v>60</v>
      </c>
      <c r="D71" s="56">
        <v>0</v>
      </c>
      <c r="F71" s="56">
        <v>0</v>
      </c>
      <c r="H71" s="56">
        <v>0</v>
      </c>
      <c r="J71" s="56">
        <v>0</v>
      </c>
      <c r="K71" s="12"/>
      <c r="L71" s="56">
        <v>0</v>
      </c>
      <c r="N71" s="6">
        <f>D71+F71+H71+J71+L71</f>
        <v>0</v>
      </c>
    </row>
    <row r="72" spans="1:14" x14ac:dyDescent="0.25">
      <c r="A72" s="36">
        <v>602</v>
      </c>
      <c r="B72" s="3" t="s">
        <v>61</v>
      </c>
      <c r="D72" s="57">
        <v>0</v>
      </c>
      <c r="F72" s="57">
        <v>0</v>
      </c>
      <c r="H72" s="57">
        <v>0</v>
      </c>
      <c r="J72" s="57">
        <v>0</v>
      </c>
      <c r="K72" s="12"/>
      <c r="L72" s="57">
        <v>0</v>
      </c>
      <c r="N72" s="7">
        <f>D72+F72+H72+J72+L72</f>
        <v>0</v>
      </c>
    </row>
    <row r="73" spans="1:14" x14ac:dyDescent="0.25">
      <c r="A73" s="36"/>
      <c r="B73" s="25" t="s">
        <v>7</v>
      </c>
      <c r="D73" s="22">
        <f>SUM(D70:D72)</f>
        <v>0</v>
      </c>
      <c r="F73" s="22">
        <f>SUM(F70:F72)</f>
        <v>0</v>
      </c>
      <c r="H73" s="22">
        <f>SUM(H70:H72)</f>
        <v>0</v>
      </c>
      <c r="J73" s="22">
        <f>SUM(J70:J72)</f>
        <v>0</v>
      </c>
      <c r="K73" s="12"/>
      <c r="L73" s="22">
        <f>SUM(L70:L72)</f>
        <v>0</v>
      </c>
      <c r="N73" s="8">
        <f>D73+F73+H73+J73+L73</f>
        <v>0</v>
      </c>
    </row>
    <row r="74" spans="1:14" x14ac:dyDescent="0.25">
      <c r="A74" s="36"/>
      <c r="B74" s="24" t="s">
        <v>64</v>
      </c>
      <c r="D74" s="47" t="str">
        <f>IF(D73='Exh B'!D22,"OK","ERROR")</f>
        <v>OK</v>
      </c>
      <c r="F74" s="47" t="str">
        <f>IF(F73='Exh B'!F22,"OK","ERROR")</f>
        <v>OK</v>
      </c>
      <c r="H74" s="47" t="str">
        <f>IF(H73='Exh B'!H22,"OK","ERROR")</f>
        <v>OK</v>
      </c>
      <c r="J74" s="47" t="str">
        <f>IF(J73='Exh B'!J22,"OK","ERROR")</f>
        <v>OK</v>
      </c>
      <c r="L74" s="47" t="str">
        <f>IF(L73='Exh B'!L22,"OK","ERROR")</f>
        <v>OK</v>
      </c>
    </row>
    <row r="75" spans="1:14" ht="18" customHeight="1" x14ac:dyDescent="0.25">
      <c r="A75" s="36"/>
      <c r="B75" s="24"/>
      <c r="D75" s="47"/>
      <c r="F75" s="47"/>
      <c r="H75" s="47"/>
      <c r="J75" s="47"/>
      <c r="L75" s="47"/>
    </row>
    <row r="76" spans="1:14" x14ac:dyDescent="0.25">
      <c r="A76" s="36"/>
      <c r="B76" s="42" t="s">
        <v>126</v>
      </c>
      <c r="D76" s="47"/>
      <c r="F76" s="47"/>
      <c r="H76" s="47"/>
      <c r="J76" s="47"/>
      <c r="L76" s="47"/>
    </row>
    <row r="77" spans="1:14" x14ac:dyDescent="0.25">
      <c r="A77" s="36"/>
      <c r="B77" s="42"/>
      <c r="D77" s="47"/>
      <c r="F77" s="47"/>
      <c r="H77" s="47"/>
      <c r="J77" s="47"/>
      <c r="L77" s="47"/>
    </row>
    <row r="78" spans="1:14" x14ac:dyDescent="0.25">
      <c r="A78" s="36"/>
      <c r="B78" s="1" t="s">
        <v>127</v>
      </c>
      <c r="D78" s="58" t="s">
        <v>128</v>
      </c>
      <c r="F78" s="58" t="s">
        <v>128</v>
      </c>
      <c r="H78" s="58" t="s">
        <v>128</v>
      </c>
      <c r="J78" s="58" t="s">
        <v>128</v>
      </c>
      <c r="L78" s="58" t="s">
        <v>128</v>
      </c>
    </row>
    <row r="79" spans="1:14" ht="11.25" customHeight="1" x14ac:dyDescent="0.25">
      <c r="A79" s="36"/>
      <c r="B79" s="1"/>
      <c r="D79" s="93"/>
      <c r="F79" s="93"/>
      <c r="H79" s="93"/>
      <c r="J79" s="93"/>
      <c r="L79" s="93"/>
    </row>
    <row r="80" spans="1:14" ht="15.6" x14ac:dyDescent="0.25">
      <c r="A80" s="36"/>
      <c r="B80" s="94" t="s">
        <v>311</v>
      </c>
      <c r="D80" s="93"/>
      <c r="F80" s="93"/>
      <c r="H80" s="93"/>
      <c r="J80" s="93"/>
      <c r="L80" s="93"/>
    </row>
    <row r="81" spans="1:15" x14ac:dyDescent="0.25">
      <c r="A81" s="36"/>
      <c r="B81" s="14" t="s">
        <v>194</v>
      </c>
      <c r="D81" s="56">
        <v>0</v>
      </c>
      <c r="E81" s="56"/>
      <c r="F81" s="56">
        <v>0</v>
      </c>
      <c r="G81" s="56"/>
      <c r="H81" s="56">
        <v>0</v>
      </c>
      <c r="I81" s="56"/>
      <c r="J81" s="56">
        <v>0</v>
      </c>
      <c r="K81" s="56"/>
      <c r="L81" s="56">
        <v>0</v>
      </c>
      <c r="M81" s="56"/>
      <c r="N81" s="6">
        <f>D81+F81+H81+J81+L81</f>
        <v>0</v>
      </c>
      <c r="O81" s="13"/>
    </row>
    <row r="82" spans="1:15" x14ac:dyDescent="0.25">
      <c r="A82" s="36"/>
      <c r="B82" s="3" t="s">
        <v>195</v>
      </c>
      <c r="D82" s="57">
        <v>0</v>
      </c>
      <c r="E82" s="56"/>
      <c r="F82" s="57">
        <v>0</v>
      </c>
      <c r="G82" s="56"/>
      <c r="H82" s="57">
        <v>0</v>
      </c>
      <c r="I82" s="56"/>
      <c r="J82" s="57">
        <v>0</v>
      </c>
      <c r="K82" s="56"/>
      <c r="L82" s="57">
        <v>0</v>
      </c>
      <c r="M82" s="56"/>
      <c r="N82" s="7">
        <f>D82+F82+H82+J82+L82</f>
        <v>0</v>
      </c>
    </row>
    <row r="83" spans="1:15" x14ac:dyDescent="0.25">
      <c r="A83" s="36"/>
      <c r="B83" s="25" t="s">
        <v>7</v>
      </c>
      <c r="D83" s="10">
        <f>SUM(D81:D82)</f>
        <v>0</v>
      </c>
      <c r="E83" s="12"/>
      <c r="F83" s="10">
        <f>SUM(F81:F82)</f>
        <v>0</v>
      </c>
      <c r="G83" s="12"/>
      <c r="H83" s="10">
        <f>SUM(H81:H82)</f>
        <v>0</v>
      </c>
      <c r="I83" s="12"/>
      <c r="J83" s="10">
        <f>SUM(J81:J82)</f>
        <v>0</v>
      </c>
      <c r="K83" s="12"/>
      <c r="L83" s="10">
        <f>SUM(L81:L82)</f>
        <v>0</v>
      </c>
      <c r="M83" s="12"/>
      <c r="N83" s="8">
        <f>D83+F83+H83+J83+L83</f>
        <v>0</v>
      </c>
      <c r="O83" t="str">
        <f>IF($N$112&gt;=0,"","See below error - Invested in capital assets")</f>
        <v/>
      </c>
    </row>
    <row r="84" spans="1:15" x14ac:dyDescent="0.25">
      <c r="A84" s="36"/>
      <c r="B84" s="24" t="s">
        <v>41</v>
      </c>
      <c r="D84" s="47" t="str">
        <f>IF(D83='Exh A'!D41,"OK","ERROR")</f>
        <v>OK</v>
      </c>
      <c r="E84" s="56"/>
      <c r="F84" s="47" t="str">
        <f>IF(F83='Exh A'!F41,"OK","ERROR")</f>
        <v>OK</v>
      </c>
      <c r="G84" s="56"/>
      <c r="H84" s="47" t="str">
        <f>IF(H83='Exh A'!H41,"OK","ERROR")</f>
        <v>OK</v>
      </c>
      <c r="I84" s="56"/>
      <c r="J84" s="47" t="str">
        <f>IF(J83='Exh A'!J41,"OK","ERROR")</f>
        <v>OK</v>
      </c>
      <c r="K84" s="56"/>
      <c r="L84" s="47" t="str">
        <f>IF(L83='Exh A'!L41,"OK","ERROR")</f>
        <v>OK</v>
      </c>
      <c r="M84" s="56"/>
      <c r="N84" s="56"/>
    </row>
    <row r="85" spans="1:15" ht="9" customHeight="1" x14ac:dyDescent="0.25">
      <c r="A85" s="36"/>
      <c r="B85" s="63"/>
      <c r="D85" s="56"/>
      <c r="E85" s="56"/>
      <c r="F85" s="56"/>
      <c r="G85" s="56"/>
      <c r="H85" s="56"/>
      <c r="I85" s="56"/>
      <c r="J85" s="56"/>
      <c r="K85" s="56"/>
      <c r="L85" s="56"/>
      <c r="M85" s="56"/>
      <c r="N85" s="56"/>
    </row>
    <row r="86" spans="1:15" ht="15.6" x14ac:dyDescent="0.25">
      <c r="A86" s="36"/>
      <c r="B86" s="94" t="s">
        <v>312</v>
      </c>
      <c r="D86" s="56"/>
      <c r="E86" s="56"/>
      <c r="F86" s="56"/>
      <c r="G86" s="56"/>
      <c r="H86" s="56"/>
      <c r="I86" s="56"/>
      <c r="J86" s="56"/>
      <c r="K86" s="56"/>
      <c r="L86" s="56"/>
      <c r="M86" s="56"/>
      <c r="N86" s="56"/>
    </row>
    <row r="87" spans="1:15" x14ac:dyDescent="0.25">
      <c r="A87" s="36"/>
      <c r="B87" s="3" t="s">
        <v>196</v>
      </c>
      <c r="D87" s="56">
        <v>0</v>
      </c>
      <c r="E87" s="56"/>
      <c r="F87" s="56">
        <v>0</v>
      </c>
      <c r="G87" s="56"/>
      <c r="H87" s="56">
        <v>0</v>
      </c>
      <c r="I87" s="56"/>
      <c r="J87" s="56">
        <v>0</v>
      </c>
      <c r="K87" s="56"/>
      <c r="L87" s="56">
        <v>0</v>
      </c>
      <c r="M87" s="56"/>
      <c r="N87" s="6">
        <f>D87+F87+H87+J87+L87</f>
        <v>0</v>
      </c>
    </row>
    <row r="88" spans="1:15" x14ac:dyDescent="0.25">
      <c r="A88" s="36"/>
      <c r="B88" s="3" t="s">
        <v>197</v>
      </c>
      <c r="D88" s="57">
        <v>0</v>
      </c>
      <c r="E88" s="56"/>
      <c r="F88" s="57">
        <v>0</v>
      </c>
      <c r="G88" s="56"/>
      <c r="H88" s="57">
        <v>0</v>
      </c>
      <c r="I88" s="56"/>
      <c r="J88" s="57">
        <v>0</v>
      </c>
      <c r="K88" s="56"/>
      <c r="L88" s="57">
        <v>0</v>
      </c>
      <c r="M88" s="56"/>
      <c r="N88" s="7">
        <f>D88+F88+H88+J88+L88</f>
        <v>0</v>
      </c>
    </row>
    <row r="89" spans="1:15" x14ac:dyDescent="0.25">
      <c r="A89" s="36"/>
      <c r="B89" s="25" t="s">
        <v>7</v>
      </c>
      <c r="D89" s="10">
        <f>SUM(D87:D88)</f>
        <v>0</v>
      </c>
      <c r="E89" s="12"/>
      <c r="F89" s="10">
        <f>SUM(F87:F88)</f>
        <v>0</v>
      </c>
      <c r="G89" s="12"/>
      <c r="H89" s="10">
        <f>SUM(H87:H88)</f>
        <v>0</v>
      </c>
      <c r="I89" s="12"/>
      <c r="J89" s="10">
        <f>SUM(J87:J88)</f>
        <v>0</v>
      </c>
      <c r="K89" s="12"/>
      <c r="L89" s="10">
        <f>SUM(L87:L88)</f>
        <v>0</v>
      </c>
      <c r="M89" s="12"/>
      <c r="N89" s="8">
        <f>D89+F89+H89+J89+L89</f>
        <v>0</v>
      </c>
      <c r="O89" t="str">
        <f>IF($N$112&gt;=0,"","See below error - Invested in capital assets")</f>
        <v/>
      </c>
    </row>
    <row r="90" spans="1:15" x14ac:dyDescent="0.25">
      <c r="A90" s="36"/>
      <c r="B90" s="24" t="s">
        <v>41</v>
      </c>
      <c r="D90" s="47" t="str">
        <f>IF(D89='Exh A'!D42,"OK","ERROR")</f>
        <v>OK</v>
      </c>
      <c r="E90" s="56"/>
      <c r="F90" s="47" t="str">
        <f>IF(F89='Exh A'!F42,"OK","ERROR")</f>
        <v>OK</v>
      </c>
      <c r="G90" s="56"/>
      <c r="H90" s="47" t="str">
        <f>IF(H89='Exh A'!H42,"OK","ERROR")</f>
        <v>OK</v>
      </c>
      <c r="I90" s="56"/>
      <c r="J90" s="47" t="str">
        <f>IF(J89='Exh A'!J42,"OK","ERROR")</f>
        <v>OK</v>
      </c>
      <c r="K90" s="56"/>
      <c r="L90" s="47" t="str">
        <f>IF(L89='Exh A'!L42,"OK","ERROR")</f>
        <v>OK</v>
      </c>
      <c r="M90" s="56"/>
      <c r="N90" s="56"/>
    </row>
    <row r="91" spans="1:15" ht="9" customHeight="1" x14ac:dyDescent="0.25">
      <c r="A91" s="36"/>
      <c r="B91" s="24"/>
      <c r="D91" s="47"/>
      <c r="E91" s="56"/>
      <c r="F91" s="47"/>
      <c r="G91" s="56"/>
      <c r="H91" s="47"/>
      <c r="I91" s="56"/>
      <c r="J91" s="47"/>
      <c r="K91" s="56"/>
      <c r="L91" s="47"/>
      <c r="M91" s="56"/>
      <c r="N91" s="56"/>
    </row>
    <row r="92" spans="1:15" ht="15.6" x14ac:dyDescent="0.25">
      <c r="A92" s="36"/>
      <c r="B92" s="94" t="s">
        <v>313</v>
      </c>
      <c r="D92" s="47"/>
      <c r="E92" s="56"/>
      <c r="F92" s="47"/>
      <c r="G92" s="56"/>
      <c r="H92" s="47"/>
      <c r="I92" s="56"/>
      <c r="J92" s="47"/>
      <c r="K92" s="56"/>
      <c r="L92" s="47"/>
      <c r="M92" s="56"/>
      <c r="N92" s="56"/>
    </row>
    <row r="93" spans="1:15" x14ac:dyDescent="0.25">
      <c r="A93" s="36"/>
      <c r="B93" s="3" t="s">
        <v>198</v>
      </c>
      <c r="D93" s="56">
        <v>0</v>
      </c>
      <c r="E93" s="56"/>
      <c r="F93" s="56">
        <v>0</v>
      </c>
      <c r="G93" s="56"/>
      <c r="H93" s="56">
        <v>0</v>
      </c>
      <c r="I93" s="56"/>
      <c r="J93" s="56">
        <v>0</v>
      </c>
      <c r="K93" s="56"/>
      <c r="L93" s="56">
        <v>0</v>
      </c>
      <c r="M93" s="56"/>
      <c r="N93" s="6">
        <f>D93+F93+H93+J93+L93</f>
        <v>0</v>
      </c>
    </row>
    <row r="94" spans="1:15" x14ac:dyDescent="0.25">
      <c r="A94" s="36"/>
      <c r="B94" s="3" t="s">
        <v>199</v>
      </c>
      <c r="D94" s="57">
        <v>0</v>
      </c>
      <c r="E94" s="56"/>
      <c r="F94" s="57">
        <v>0</v>
      </c>
      <c r="G94" s="56"/>
      <c r="H94" s="57">
        <v>0</v>
      </c>
      <c r="I94" s="56"/>
      <c r="J94" s="57">
        <v>0</v>
      </c>
      <c r="K94" s="56"/>
      <c r="L94" s="57">
        <v>0</v>
      </c>
      <c r="M94" s="56"/>
      <c r="N94" s="7">
        <f>D94+F94+H94+J94+L94</f>
        <v>0</v>
      </c>
    </row>
    <row r="95" spans="1:15" x14ac:dyDescent="0.25">
      <c r="A95" s="36"/>
      <c r="B95" s="25" t="s">
        <v>7</v>
      </c>
      <c r="D95" s="10">
        <f>SUM(D93:D94)</f>
        <v>0</v>
      </c>
      <c r="E95" s="12"/>
      <c r="F95" s="10">
        <f>SUM(F93:F94)</f>
        <v>0</v>
      </c>
      <c r="G95" s="12"/>
      <c r="H95" s="10">
        <f>SUM(H93:H94)</f>
        <v>0</v>
      </c>
      <c r="I95" s="12"/>
      <c r="J95" s="10">
        <f>SUM(J93:J94)</f>
        <v>0</v>
      </c>
      <c r="K95" s="12"/>
      <c r="L95" s="10">
        <f>SUM(L93:L94)</f>
        <v>0</v>
      </c>
      <c r="M95" s="12"/>
      <c r="N95" s="8">
        <f>D95+F95+H95+J95+L95</f>
        <v>0</v>
      </c>
      <c r="O95" t="str">
        <f>IF($N$112&gt;=0,"","See below error - Invested in capital assets")</f>
        <v/>
      </c>
    </row>
    <row r="96" spans="1:15" x14ac:dyDescent="0.25">
      <c r="A96" s="36"/>
      <c r="B96" s="24"/>
      <c r="D96" s="47"/>
      <c r="E96" s="56"/>
      <c r="F96" s="47"/>
      <c r="G96" s="56"/>
      <c r="H96" s="47"/>
      <c r="I96" s="56"/>
      <c r="J96" s="47"/>
      <c r="K96" s="56"/>
      <c r="L96" s="47"/>
      <c r="M96" s="56"/>
      <c r="N96" s="56"/>
    </row>
    <row r="97" spans="1:15" ht="15.6" x14ac:dyDescent="0.25">
      <c r="A97" s="36"/>
      <c r="B97" s="279" t="s">
        <v>385</v>
      </c>
      <c r="C97" s="280"/>
      <c r="D97" s="281"/>
      <c r="E97" s="280"/>
      <c r="F97" s="281"/>
      <c r="G97" s="280"/>
      <c r="H97" s="281"/>
      <c r="I97" s="280"/>
      <c r="J97" s="281"/>
      <c r="K97" s="280"/>
      <c r="L97" s="281"/>
      <c r="M97" s="280"/>
      <c r="N97" s="280"/>
      <c r="O97" s="196"/>
    </row>
    <row r="98" spans="1:15" x14ac:dyDescent="0.25">
      <c r="A98" s="36"/>
      <c r="B98" s="282" t="s">
        <v>386</v>
      </c>
      <c r="C98" s="280"/>
      <c r="D98" s="290">
        <v>0</v>
      </c>
      <c r="E98" s="272"/>
      <c r="F98" s="292">
        <v>0</v>
      </c>
      <c r="G98" s="272"/>
      <c r="H98" s="292">
        <v>0</v>
      </c>
      <c r="I98" s="272"/>
      <c r="J98" s="292">
        <v>0</v>
      </c>
      <c r="K98" s="272"/>
      <c r="L98" s="292">
        <v>0</v>
      </c>
      <c r="M98" s="272"/>
      <c r="N98" s="294">
        <f>D98+F98+H98+J98+L98</f>
        <v>0</v>
      </c>
      <c r="O98" s="196"/>
    </row>
    <row r="99" spans="1:15" x14ac:dyDescent="0.25">
      <c r="A99" s="36"/>
      <c r="B99" s="282" t="s">
        <v>387</v>
      </c>
      <c r="C99" s="267"/>
      <c r="D99" s="291">
        <v>0</v>
      </c>
      <c r="E99" s="283"/>
      <c r="F99" s="293">
        <v>0</v>
      </c>
      <c r="G99" s="283"/>
      <c r="H99" s="293">
        <v>0</v>
      </c>
      <c r="I99" s="283"/>
      <c r="J99" s="293">
        <v>0</v>
      </c>
      <c r="K99" s="283"/>
      <c r="L99" s="293">
        <v>0</v>
      </c>
      <c r="M99" s="283"/>
      <c r="N99" s="295">
        <f>D99+F99+H99+J99+L99</f>
        <v>0</v>
      </c>
      <c r="O99" s="196"/>
    </row>
    <row r="100" spans="1:15" x14ac:dyDescent="0.25">
      <c r="A100" s="36"/>
      <c r="B100" s="282"/>
      <c r="C100" s="267"/>
      <c r="D100" s="284">
        <f>SUM(D98:D99)</f>
        <v>0</v>
      </c>
      <c r="E100" s="283"/>
      <c r="F100" s="285">
        <f>SUM(F98:F99)</f>
        <v>0</v>
      </c>
      <c r="G100" s="283"/>
      <c r="H100" s="285">
        <f>SUM(H98:H99)</f>
        <v>0</v>
      </c>
      <c r="I100" s="283"/>
      <c r="J100" s="285">
        <f>SUM(J98:J99)</f>
        <v>0</v>
      </c>
      <c r="K100" s="283"/>
      <c r="L100" s="285">
        <f>SUM(L98:L99)</f>
        <v>0</v>
      </c>
      <c r="M100" s="283"/>
      <c r="N100" s="286">
        <f>SUM(N98:N99)</f>
        <v>0</v>
      </c>
      <c r="O100" s="196"/>
    </row>
    <row r="101" spans="1:15" x14ac:dyDescent="0.25">
      <c r="A101" s="36"/>
      <c r="B101" s="273"/>
      <c r="C101" s="267"/>
      <c r="D101" s="287" t="str">
        <f>IF(D100='Exh A'!D47,"OK","Explain Further on 'Comments' tab")</f>
        <v>OK</v>
      </c>
      <c r="E101" s="287"/>
      <c r="F101" s="287" t="str">
        <f>IF(F100='Exh A'!F47,"OK","Explain Further on 'Comments' tab")</f>
        <v>OK</v>
      </c>
      <c r="G101" s="287"/>
      <c r="H101" s="287" t="str">
        <f>IF(H100='Exh A'!H47,"OK","Explain Further on 'Comments' tab")</f>
        <v>OK</v>
      </c>
      <c r="I101" s="287"/>
      <c r="J101" s="287" t="str">
        <f>IF(J100='Exh A'!J47,"OK","Explain Further on 'Comments' tab")</f>
        <v>OK</v>
      </c>
      <c r="K101" s="287"/>
      <c r="L101" s="287" t="str">
        <f>IF(L100='Exh A'!L47,"OK","Explain Further on 'Comments' tab")</f>
        <v>OK</v>
      </c>
      <c r="M101" s="287"/>
      <c r="N101" s="287" t="str">
        <f>IF(N100='Exh A'!N47,"OK","Explain Further on 'Comments' tab")</f>
        <v>OK</v>
      </c>
      <c r="O101" s="196"/>
    </row>
    <row r="102" spans="1:15" x14ac:dyDescent="0.25">
      <c r="A102" s="36"/>
      <c r="B102" s="24"/>
      <c r="D102" s="47"/>
      <c r="E102" s="56"/>
      <c r="F102" s="47"/>
      <c r="G102" s="56"/>
      <c r="H102" s="47"/>
      <c r="I102" s="56"/>
      <c r="J102" s="47"/>
      <c r="K102" s="56"/>
      <c r="L102" s="47"/>
      <c r="M102" s="56"/>
      <c r="N102" s="56"/>
    </row>
    <row r="103" spans="1:15" x14ac:dyDescent="0.25">
      <c r="A103" s="36"/>
      <c r="B103" s="24"/>
      <c r="D103" s="47"/>
      <c r="E103" s="56"/>
      <c r="F103" s="47"/>
      <c r="G103" s="56"/>
      <c r="H103" s="47"/>
      <c r="I103" s="56"/>
      <c r="J103" s="47"/>
      <c r="K103" s="56"/>
      <c r="L103" s="47"/>
      <c r="M103" s="56"/>
      <c r="N103" s="56"/>
    </row>
    <row r="104" spans="1:15" x14ac:dyDescent="0.25">
      <c r="A104" s="36"/>
      <c r="B104" s="24"/>
      <c r="D104" s="38"/>
      <c r="F104" s="38"/>
      <c r="H104" s="38"/>
      <c r="J104" s="38"/>
      <c r="L104" s="38"/>
    </row>
    <row r="105" spans="1:15" ht="15.6" x14ac:dyDescent="0.25">
      <c r="A105" s="36"/>
      <c r="B105" s="31" t="s">
        <v>325</v>
      </c>
      <c r="C105" s="15"/>
      <c r="D105" s="15"/>
      <c r="E105" s="15"/>
      <c r="F105" s="15"/>
      <c r="G105" s="15"/>
      <c r="H105" s="15"/>
      <c r="I105" s="15"/>
      <c r="J105" s="15"/>
      <c r="K105" s="15"/>
      <c r="L105" s="15"/>
      <c r="M105" s="15"/>
      <c r="N105" s="15"/>
    </row>
    <row r="106" spans="1:15" x14ac:dyDescent="0.25">
      <c r="A106" s="36"/>
      <c r="B106" s="16" t="s">
        <v>326</v>
      </c>
      <c r="C106" s="15"/>
      <c r="D106" s="15"/>
      <c r="E106" s="15"/>
      <c r="F106" s="15"/>
      <c r="G106" s="15"/>
      <c r="H106" s="15"/>
      <c r="I106" s="15"/>
      <c r="J106" s="15"/>
      <c r="K106" s="15"/>
      <c r="L106" s="15"/>
      <c r="M106" s="15"/>
      <c r="N106" s="15"/>
    </row>
    <row r="107" spans="1:15" x14ac:dyDescent="0.25">
      <c r="A107" s="36"/>
      <c r="B107" s="17" t="s">
        <v>31</v>
      </c>
      <c r="C107" s="15"/>
      <c r="D107" s="32">
        <f>'Exh A'!D26</f>
        <v>0</v>
      </c>
      <c r="E107" s="15"/>
      <c r="F107" s="32">
        <f>'Exh A'!F26</f>
        <v>0</v>
      </c>
      <c r="G107" s="19"/>
      <c r="H107" s="32">
        <f>'Exh A'!H26</f>
        <v>0</v>
      </c>
      <c r="I107" s="19"/>
      <c r="J107" s="32">
        <f>'Exh A'!J26</f>
        <v>0</v>
      </c>
      <c r="K107" s="19"/>
      <c r="L107" s="32">
        <f>'Exh A'!L26</f>
        <v>0</v>
      </c>
      <c r="M107" s="15"/>
      <c r="N107" s="32">
        <f t="shared" ref="N107:N112" si="0">D107+F107+H107+J107+L107</f>
        <v>0</v>
      </c>
    </row>
    <row r="108" spans="1:15" x14ac:dyDescent="0.25">
      <c r="A108" s="36"/>
      <c r="B108" s="17" t="s">
        <v>200</v>
      </c>
      <c r="C108" s="15"/>
      <c r="D108" s="19">
        <f>'Exh A'!D40</f>
        <v>0</v>
      </c>
      <c r="E108" s="15"/>
      <c r="F108" s="19">
        <f>'Exh A'!F40</f>
        <v>0</v>
      </c>
      <c r="G108" s="19"/>
      <c r="H108" s="19">
        <f>'Exh A'!H40</f>
        <v>0</v>
      </c>
      <c r="I108" s="19"/>
      <c r="J108" s="19">
        <f>'Exh A'!J40</f>
        <v>0</v>
      </c>
      <c r="K108" s="19"/>
      <c r="L108" s="19">
        <f>'Exh A'!L40</f>
        <v>0</v>
      </c>
      <c r="M108" s="15"/>
      <c r="N108" s="19">
        <f t="shared" si="0"/>
        <v>0</v>
      </c>
    </row>
    <row r="109" spans="1:15" x14ac:dyDescent="0.25">
      <c r="A109" s="36"/>
      <c r="B109" s="17" t="s">
        <v>201</v>
      </c>
      <c r="C109" s="15"/>
      <c r="D109" s="19">
        <f>D81</f>
        <v>0</v>
      </c>
      <c r="E109" s="15"/>
      <c r="F109" s="19">
        <f>F81</f>
        <v>0</v>
      </c>
      <c r="G109" s="19"/>
      <c r="H109" s="19">
        <f>H81</f>
        <v>0</v>
      </c>
      <c r="I109" s="19"/>
      <c r="J109" s="19">
        <f>J81</f>
        <v>0</v>
      </c>
      <c r="K109" s="19"/>
      <c r="L109" s="19">
        <f>L81</f>
        <v>0</v>
      </c>
      <c r="M109" s="15"/>
      <c r="N109" s="19">
        <f t="shared" si="0"/>
        <v>0</v>
      </c>
    </row>
    <row r="110" spans="1:15" x14ac:dyDescent="0.25">
      <c r="A110" s="36"/>
      <c r="B110" s="17" t="s">
        <v>202</v>
      </c>
      <c r="C110" s="15"/>
      <c r="D110" s="19">
        <f>D87</f>
        <v>0</v>
      </c>
      <c r="E110" s="15"/>
      <c r="F110" s="19">
        <f>F87</f>
        <v>0</v>
      </c>
      <c r="G110" s="19"/>
      <c r="H110" s="19">
        <f>H87</f>
        <v>0</v>
      </c>
      <c r="I110" s="19"/>
      <c r="J110" s="19">
        <f>J87</f>
        <v>0</v>
      </c>
      <c r="K110" s="19"/>
      <c r="L110" s="19">
        <f>L87</f>
        <v>0</v>
      </c>
      <c r="M110" s="15"/>
      <c r="N110" s="19">
        <f t="shared" si="0"/>
        <v>0</v>
      </c>
    </row>
    <row r="111" spans="1:15" x14ac:dyDescent="0.25">
      <c r="A111" s="36"/>
      <c r="B111" s="17" t="s">
        <v>203</v>
      </c>
      <c r="C111" s="15"/>
      <c r="D111" s="20">
        <f>D93</f>
        <v>0</v>
      </c>
      <c r="E111" s="15"/>
      <c r="F111" s="20">
        <f>F93</f>
        <v>0</v>
      </c>
      <c r="G111" s="19"/>
      <c r="H111" s="20">
        <f>H93</f>
        <v>0</v>
      </c>
      <c r="I111" s="19"/>
      <c r="J111" s="20">
        <f>J93</f>
        <v>0</v>
      </c>
      <c r="K111" s="19"/>
      <c r="L111" s="20">
        <f>L93</f>
        <v>0</v>
      </c>
      <c r="M111" s="15"/>
      <c r="N111" s="19">
        <f t="shared" si="0"/>
        <v>0</v>
      </c>
    </row>
    <row r="112" spans="1:15" x14ac:dyDescent="0.25">
      <c r="A112" s="36"/>
      <c r="B112" s="18" t="s">
        <v>326</v>
      </c>
      <c r="C112" s="15"/>
      <c r="D112" s="21">
        <f>D107-D108-D109-D110+D111</f>
        <v>0</v>
      </c>
      <c r="E112" s="15"/>
      <c r="F112" s="21">
        <f>F107-F108-F109-F110+F111</f>
        <v>0</v>
      </c>
      <c r="G112" s="19"/>
      <c r="H112" s="21">
        <f>H107-H108-H109-H110+H111</f>
        <v>0</v>
      </c>
      <c r="I112" s="19"/>
      <c r="J112" s="21">
        <f>J107-J108-J109-J110+J111</f>
        <v>0</v>
      </c>
      <c r="K112" s="19"/>
      <c r="L112" s="21">
        <f>L107-L108-L109-L110+L111</f>
        <v>0</v>
      </c>
      <c r="M112" s="15"/>
      <c r="N112" s="21">
        <f t="shared" si="0"/>
        <v>0</v>
      </c>
      <c r="O112" s="150" t="str">
        <f>IF(N112&gt;=0,"OK ","ERROR - Cannot be a negative amount. Review adjustments above, especially lines 80-95.")</f>
        <v xml:space="preserve">OK </v>
      </c>
    </row>
    <row r="113" spans="1:15" ht="9.75" customHeight="1" x14ac:dyDescent="0.25">
      <c r="A113" s="36"/>
      <c r="B113" s="18"/>
      <c r="C113" s="15"/>
      <c r="D113" s="19"/>
      <c r="E113" s="15"/>
      <c r="F113" s="19"/>
      <c r="G113" s="19"/>
      <c r="H113" s="19"/>
      <c r="I113" s="19"/>
      <c r="J113" s="19"/>
      <c r="K113" s="19"/>
      <c r="L113" s="19"/>
      <c r="M113" s="15"/>
      <c r="N113" s="19"/>
    </row>
    <row r="114" spans="1:15" x14ac:dyDescent="0.25">
      <c r="A114" s="36"/>
      <c r="B114" s="16" t="s">
        <v>327</v>
      </c>
      <c r="C114" s="15"/>
      <c r="D114" s="19"/>
      <c r="E114" s="15"/>
      <c r="F114" s="19"/>
      <c r="G114" s="19"/>
      <c r="H114" s="19"/>
      <c r="I114" s="19"/>
      <c r="J114" s="19"/>
      <c r="K114" s="19"/>
      <c r="L114" s="19"/>
      <c r="M114" s="15"/>
      <c r="N114" s="19"/>
    </row>
    <row r="115" spans="1:15" x14ac:dyDescent="0.25">
      <c r="A115" s="36"/>
      <c r="B115" s="276" t="s">
        <v>390</v>
      </c>
      <c r="C115" s="277"/>
      <c r="D115" s="278">
        <f>D99</f>
        <v>0</v>
      </c>
      <c r="E115" s="277"/>
      <c r="F115" s="278">
        <f>F99</f>
        <v>0</v>
      </c>
      <c r="G115" s="278"/>
      <c r="H115" s="278">
        <f>H99</f>
        <v>0</v>
      </c>
      <c r="I115" s="278"/>
      <c r="J115" s="278">
        <f>J99</f>
        <v>0</v>
      </c>
      <c r="K115" s="278"/>
      <c r="L115" s="278">
        <f>L99</f>
        <v>0</v>
      </c>
      <c r="M115" s="277"/>
      <c r="N115" s="278">
        <f>D115+F115+H115+J115+L115</f>
        <v>0</v>
      </c>
      <c r="O115" s="196"/>
    </row>
    <row r="116" spans="1:15" x14ac:dyDescent="0.25">
      <c r="A116" s="36"/>
      <c r="B116" s="17" t="s">
        <v>217</v>
      </c>
      <c r="C116" s="15"/>
      <c r="D116" s="19">
        <f>D25</f>
        <v>0</v>
      </c>
      <c r="E116" s="15"/>
      <c r="F116" s="19">
        <f>F25</f>
        <v>0</v>
      </c>
      <c r="G116" s="19"/>
      <c r="H116" s="19">
        <f>H25</f>
        <v>0</v>
      </c>
      <c r="I116" s="19"/>
      <c r="J116" s="19">
        <f>J25</f>
        <v>0</v>
      </c>
      <c r="K116" s="19"/>
      <c r="L116" s="19">
        <f>L25</f>
        <v>0</v>
      </c>
      <c r="M116" s="15"/>
      <c r="N116" s="19">
        <f>D116+F116+H116+J116+L116</f>
        <v>0</v>
      </c>
    </row>
    <row r="117" spans="1:15" x14ac:dyDescent="0.25">
      <c r="A117" s="36"/>
      <c r="B117" s="17" t="s">
        <v>218</v>
      </c>
      <c r="C117" s="15"/>
      <c r="D117" s="19">
        <f>D26</f>
        <v>0</v>
      </c>
      <c r="E117" s="15"/>
      <c r="F117" s="19">
        <f>F26</f>
        <v>0</v>
      </c>
      <c r="G117" s="19"/>
      <c r="H117" s="19">
        <f>H26</f>
        <v>0</v>
      </c>
      <c r="I117" s="19"/>
      <c r="J117" s="19">
        <f>J26</f>
        <v>0</v>
      </c>
      <c r="K117" s="19"/>
      <c r="L117" s="19">
        <f>L26</f>
        <v>0</v>
      </c>
      <c r="M117" s="15"/>
      <c r="N117" s="19">
        <f>D117+F117+H117+J117+L117</f>
        <v>0</v>
      </c>
    </row>
    <row r="118" spans="1:15" x14ac:dyDescent="0.25">
      <c r="A118" s="36"/>
      <c r="B118" s="18" t="s">
        <v>328</v>
      </c>
      <c r="C118" s="15"/>
      <c r="D118" s="21">
        <f>D115-D116-D117</f>
        <v>0</v>
      </c>
      <c r="E118" s="15"/>
      <c r="F118" s="21">
        <f>F115-F116-F117</f>
        <v>0</v>
      </c>
      <c r="G118" s="19"/>
      <c r="H118" s="21">
        <f>H115-H116-H117</f>
        <v>0</v>
      </c>
      <c r="I118" s="19"/>
      <c r="J118" s="21">
        <f>J115-J116-J117</f>
        <v>0</v>
      </c>
      <c r="K118" s="19"/>
      <c r="L118" s="21">
        <f>L115-L116-L117</f>
        <v>0</v>
      </c>
      <c r="M118" s="15"/>
      <c r="N118" s="21">
        <f>D118+F118+H118+J118+L118</f>
        <v>0</v>
      </c>
      <c r="O118" s="150" t="str">
        <f>IF(N118&gt;=0,"OK ","ERROR - Cannot be a negative amount. Review adjustments above, especially lines 25-26.")</f>
        <v xml:space="preserve">OK </v>
      </c>
    </row>
    <row r="119" spans="1:15" ht="9.75" customHeight="1" x14ac:dyDescent="0.25">
      <c r="A119" s="36"/>
      <c r="B119" s="15"/>
      <c r="C119" s="15"/>
      <c r="D119" s="15"/>
      <c r="E119" s="15"/>
      <c r="F119" s="15"/>
      <c r="G119" s="15"/>
      <c r="H119" s="15"/>
      <c r="I119" s="15"/>
      <c r="J119" s="15"/>
      <c r="K119" s="15"/>
      <c r="L119" s="15"/>
      <c r="M119" s="15"/>
      <c r="N119" s="15"/>
    </row>
    <row r="120" spans="1:15" x14ac:dyDescent="0.25">
      <c r="A120" s="36"/>
      <c r="B120" s="23" t="s">
        <v>329</v>
      </c>
      <c r="C120" s="15"/>
      <c r="D120" s="15"/>
      <c r="E120" s="15"/>
      <c r="F120" s="15"/>
      <c r="G120" s="15"/>
      <c r="H120" s="15"/>
      <c r="I120" s="15"/>
      <c r="J120" s="15"/>
      <c r="K120" s="15"/>
      <c r="L120" s="15"/>
      <c r="M120" s="15"/>
      <c r="N120" s="15"/>
    </row>
    <row r="121" spans="1:15" x14ac:dyDescent="0.25">
      <c r="A121" s="36"/>
      <c r="B121" s="17" t="s">
        <v>209</v>
      </c>
      <c r="C121" s="15"/>
      <c r="D121" s="19">
        <f>'Exh A'!D48</f>
        <v>0</v>
      </c>
      <c r="E121" s="15"/>
      <c r="F121" s="19">
        <f>'Exh A'!F48</f>
        <v>0</v>
      </c>
      <c r="G121" s="19"/>
      <c r="H121" s="19">
        <f>'Exh A'!H48</f>
        <v>0</v>
      </c>
      <c r="I121" s="19"/>
      <c r="J121" s="19">
        <f>'Exh A'!J48</f>
        <v>0</v>
      </c>
      <c r="K121" s="19"/>
      <c r="L121" s="19">
        <f>'Exh A'!L48</f>
        <v>0</v>
      </c>
      <c r="M121" s="15"/>
      <c r="N121" s="19">
        <f>D121+F121+H121+J121+L121</f>
        <v>0</v>
      </c>
    </row>
    <row r="122" spans="1:15" x14ac:dyDescent="0.25">
      <c r="A122" s="36"/>
      <c r="B122" s="17" t="s">
        <v>331</v>
      </c>
      <c r="C122" s="15"/>
      <c r="D122" s="19">
        <f>D112</f>
        <v>0</v>
      </c>
      <c r="E122" s="15"/>
      <c r="F122" s="19">
        <f>F112</f>
        <v>0</v>
      </c>
      <c r="G122" s="19"/>
      <c r="H122" s="19">
        <f>H112</f>
        <v>0</v>
      </c>
      <c r="I122" s="19"/>
      <c r="J122" s="19">
        <f>J112</f>
        <v>0</v>
      </c>
      <c r="K122" s="19"/>
      <c r="L122" s="19">
        <f>L112</f>
        <v>0</v>
      </c>
      <c r="M122" s="15"/>
      <c r="N122" s="19">
        <f>D122+F122+H122+J122+L122</f>
        <v>0</v>
      </c>
    </row>
    <row r="123" spans="1:15" x14ac:dyDescent="0.25">
      <c r="A123" s="36"/>
      <c r="B123" s="17" t="s">
        <v>207</v>
      </c>
      <c r="C123" s="15"/>
      <c r="D123" s="19">
        <f>D118</f>
        <v>0</v>
      </c>
      <c r="E123" s="15"/>
      <c r="F123" s="19">
        <f>F118</f>
        <v>0</v>
      </c>
      <c r="G123" s="19"/>
      <c r="H123" s="19">
        <f>H118</f>
        <v>0</v>
      </c>
      <c r="I123" s="19"/>
      <c r="J123" s="19">
        <f>J118</f>
        <v>0</v>
      </c>
      <c r="K123" s="19"/>
      <c r="L123" s="19">
        <f>L118</f>
        <v>0</v>
      </c>
      <c r="M123" s="15"/>
      <c r="N123" s="19">
        <f>D123+F123+H123+J123+L123</f>
        <v>0</v>
      </c>
    </row>
    <row r="124" spans="1:15" x14ac:dyDescent="0.25">
      <c r="A124" s="36"/>
      <c r="B124" s="17" t="s">
        <v>208</v>
      </c>
      <c r="C124" s="15"/>
      <c r="D124" s="20">
        <f>D98</f>
        <v>0</v>
      </c>
      <c r="E124" s="15"/>
      <c r="F124" s="20">
        <f>F98</f>
        <v>0</v>
      </c>
      <c r="G124" s="19"/>
      <c r="H124" s="20">
        <f>H98</f>
        <v>0</v>
      </c>
      <c r="I124" s="19"/>
      <c r="J124" s="20">
        <f>J98</f>
        <v>0</v>
      </c>
      <c r="K124" s="19"/>
      <c r="L124" s="20">
        <f>L98</f>
        <v>0</v>
      </c>
      <c r="M124" s="15"/>
      <c r="N124" s="20">
        <f>D124+F124+H124+J124+L124</f>
        <v>0</v>
      </c>
    </row>
    <row r="125" spans="1:15" x14ac:dyDescent="0.25">
      <c r="A125" s="36"/>
      <c r="B125" s="18" t="s">
        <v>330</v>
      </c>
      <c r="C125" s="15"/>
      <c r="D125" s="21">
        <f>D121-D122-D123-D124</f>
        <v>0</v>
      </c>
      <c r="E125" s="15"/>
      <c r="F125" s="21">
        <f>F121-F122-F123-F124</f>
        <v>0</v>
      </c>
      <c r="G125" s="19"/>
      <c r="H125" s="21">
        <f>H121-H122-H123-H124</f>
        <v>0</v>
      </c>
      <c r="I125" s="19"/>
      <c r="J125" s="21">
        <f>J121-J122-J123-J124</f>
        <v>0</v>
      </c>
      <c r="K125" s="19"/>
      <c r="L125" s="21">
        <f>L121-L122-L123-L124</f>
        <v>0</v>
      </c>
      <c r="M125" s="15"/>
      <c r="N125" s="21">
        <f>D125+F125+H125+J125+L125</f>
        <v>0</v>
      </c>
    </row>
    <row r="126" spans="1:15" ht="12.75" customHeight="1" x14ac:dyDescent="0.25">
      <c r="A126" s="28"/>
    </row>
    <row r="127" spans="1:15" x14ac:dyDescent="0.25">
      <c r="A127" s="26" t="s">
        <v>26</v>
      </c>
    </row>
    <row r="128" spans="1:15" x14ac:dyDescent="0.25">
      <c r="A128" s="28"/>
      <c r="B128" s="26"/>
    </row>
    <row r="129" spans="1:2" x14ac:dyDescent="0.25">
      <c r="A129" s="40" t="s">
        <v>78</v>
      </c>
      <c r="B129" s="199" t="s">
        <v>460</v>
      </c>
    </row>
    <row r="130" spans="1:2" x14ac:dyDescent="0.25">
      <c r="A130" s="28"/>
      <c r="B130" s="199" t="s">
        <v>391</v>
      </c>
    </row>
    <row r="131" spans="1:2" x14ac:dyDescent="0.25">
      <c r="A131" s="28"/>
      <c r="B131" s="199" t="s">
        <v>392</v>
      </c>
    </row>
    <row r="132" spans="1:2" x14ac:dyDescent="0.25">
      <c r="A132" s="28"/>
      <c r="B132" s="199" t="s">
        <v>393</v>
      </c>
    </row>
    <row r="133" spans="1:2" ht="12.75" customHeight="1" x14ac:dyDescent="0.25">
      <c r="A133" s="28"/>
      <c r="B133" s="199" t="s">
        <v>394</v>
      </c>
    </row>
    <row r="134" spans="1:2" ht="12.75" customHeight="1" x14ac:dyDescent="0.25">
      <c r="A134" s="28"/>
      <c r="B134" s="13"/>
    </row>
    <row r="135" spans="1:2" ht="12.75" customHeight="1" x14ac:dyDescent="0.25">
      <c r="A135" s="40" t="s">
        <v>82</v>
      </c>
      <c r="B135" s="13" t="s">
        <v>243</v>
      </c>
    </row>
    <row r="136" spans="1:2" ht="12.75" customHeight="1" x14ac:dyDescent="0.25">
      <c r="A136" s="28"/>
      <c r="B136" s="13" t="s">
        <v>248</v>
      </c>
    </row>
    <row r="137" spans="1:2" ht="8.1" customHeight="1" x14ac:dyDescent="0.25">
      <c r="A137" s="28"/>
      <c r="B137" s="13"/>
    </row>
    <row r="138" spans="1:2" ht="12.75" customHeight="1" x14ac:dyDescent="0.25">
      <c r="A138" s="40" t="s">
        <v>103</v>
      </c>
      <c r="B138" s="13" t="s">
        <v>242</v>
      </c>
    </row>
    <row r="139" spans="1:2" ht="12.75" customHeight="1" x14ac:dyDescent="0.25">
      <c r="A139" s="40"/>
      <c r="B139" s="13" t="s">
        <v>249</v>
      </c>
    </row>
    <row r="140" spans="1:2" ht="12.75" customHeight="1" x14ac:dyDescent="0.25">
      <c r="A140" s="28"/>
      <c r="B140" s="199" t="s">
        <v>463</v>
      </c>
    </row>
    <row r="141" spans="1:2" ht="8.1" customHeight="1" x14ac:dyDescent="0.25">
      <c r="A141" s="28"/>
      <c r="B141" s="13"/>
    </row>
    <row r="142" spans="1:2" ht="12.75" customHeight="1" x14ac:dyDescent="0.25">
      <c r="A142" s="40" t="s">
        <v>116</v>
      </c>
      <c r="B142" s="13" t="s">
        <v>228</v>
      </c>
    </row>
    <row r="143" spans="1:2" ht="12.75" customHeight="1" x14ac:dyDescent="0.25">
      <c r="A143" s="28"/>
      <c r="B143" s="13" t="s">
        <v>229</v>
      </c>
    </row>
    <row r="144" spans="1:2" ht="12.75" customHeight="1" x14ac:dyDescent="0.25">
      <c r="A144" s="28"/>
      <c r="B144" s="13" t="s">
        <v>230</v>
      </c>
    </row>
    <row r="145" spans="1:2" ht="12.75" customHeight="1" x14ac:dyDescent="0.25">
      <c r="A145" s="28"/>
      <c r="B145" s="13" t="s">
        <v>231</v>
      </c>
    </row>
    <row r="146" spans="1:2" ht="12.75" customHeight="1" x14ac:dyDescent="0.25">
      <c r="A146" s="28"/>
      <c r="B146" s="13" t="s">
        <v>232</v>
      </c>
    </row>
    <row r="147" spans="1:2" ht="12.75" customHeight="1" x14ac:dyDescent="0.25">
      <c r="A147" s="28"/>
      <c r="B147" s="13" t="s">
        <v>334</v>
      </c>
    </row>
    <row r="148" spans="1:2" ht="8.1" customHeight="1" x14ac:dyDescent="0.25">
      <c r="A148" s="28"/>
      <c r="B148" s="13"/>
    </row>
    <row r="149" spans="1:2" x14ac:dyDescent="0.25">
      <c r="A149" s="40" t="s">
        <v>213</v>
      </c>
      <c r="B149" t="s">
        <v>461</v>
      </c>
    </row>
    <row r="150" spans="1:2" x14ac:dyDescent="0.25">
      <c r="A150" s="28"/>
      <c r="B150" t="s">
        <v>462</v>
      </c>
    </row>
    <row r="151" spans="1:2" x14ac:dyDescent="0.25">
      <c r="A151" s="28"/>
      <c r="B151" t="s">
        <v>235</v>
      </c>
    </row>
    <row r="152" spans="1:2" x14ac:dyDescent="0.25">
      <c r="A152" s="28"/>
      <c r="B152" t="s">
        <v>234</v>
      </c>
    </row>
    <row r="153" spans="1:2" ht="8.1" customHeight="1" x14ac:dyDescent="0.25">
      <c r="A153" s="28"/>
    </row>
    <row r="154" spans="1:2" x14ac:dyDescent="0.25">
      <c r="A154" s="40" t="s">
        <v>233</v>
      </c>
      <c r="B154" t="s">
        <v>204</v>
      </c>
    </row>
    <row r="155" spans="1:2" x14ac:dyDescent="0.25">
      <c r="B155" t="s">
        <v>205</v>
      </c>
    </row>
    <row r="156" spans="1:2" x14ac:dyDescent="0.25">
      <c r="A156" s="28"/>
      <c r="B156" t="s">
        <v>223</v>
      </c>
    </row>
    <row r="157" spans="1:2" x14ac:dyDescent="0.25">
      <c r="A157" s="28"/>
      <c r="B157" t="s">
        <v>206</v>
      </c>
    </row>
    <row r="158" spans="1:2" x14ac:dyDescent="0.25">
      <c r="A158" s="28"/>
      <c r="B158" t="s">
        <v>332</v>
      </c>
    </row>
    <row r="159" spans="1:2" x14ac:dyDescent="0.25">
      <c r="A159" s="28"/>
      <c r="B159" s="13" t="s">
        <v>333</v>
      </c>
    </row>
    <row r="160" spans="1:2" x14ac:dyDescent="0.25">
      <c r="A160" s="28"/>
      <c r="B160" t="s">
        <v>224</v>
      </c>
    </row>
    <row r="161" spans="1:8" ht="8.1" customHeight="1" x14ac:dyDescent="0.25">
      <c r="A161" s="28"/>
    </row>
    <row r="162" spans="1:8" ht="148.5" customHeight="1" x14ac:dyDescent="0.25">
      <c r="A162" s="275" t="s">
        <v>241</v>
      </c>
      <c r="B162" s="320" t="s">
        <v>403</v>
      </c>
      <c r="C162" s="321"/>
      <c r="D162" s="321"/>
      <c r="E162" s="321"/>
      <c r="F162" s="321"/>
      <c r="G162" s="321"/>
      <c r="H162" s="321"/>
    </row>
    <row r="163" spans="1:8" x14ac:dyDescent="0.25">
      <c r="A163" s="28"/>
    </row>
    <row r="164" spans="1:8" x14ac:dyDescent="0.25">
      <c r="A164" s="151" t="s">
        <v>308</v>
      </c>
      <c r="B164" s="13" t="s">
        <v>309</v>
      </c>
    </row>
    <row r="165" spans="1:8" x14ac:dyDescent="0.25">
      <c r="B165" s="13" t="s">
        <v>310</v>
      </c>
    </row>
  </sheetData>
  <sheetProtection algorithmName="SHA-512" hashValue="ZZRQZjUw1ki1PAim//C7zB219emUShJaeFbKUiMi+Jm0WBWMAZFoujBRWxPDZVVuGg42IhPzKbq1Phm5jkkQNw==" saltValue="7MEwvbOEI9WJf1uSvT4xnw==" spinCount="100000" sheet="1" autoFilter="0"/>
  <mergeCells count="8">
    <mergeCell ref="B162:H162"/>
    <mergeCell ref="A67:B67"/>
    <mergeCell ref="A7:B7"/>
    <mergeCell ref="L4:L6"/>
    <mergeCell ref="D4:D6"/>
    <mergeCell ref="F4:F6"/>
    <mergeCell ref="H4:H6"/>
    <mergeCell ref="J4:J6"/>
  </mergeCells>
  <phoneticPr fontId="0" type="noConversion"/>
  <conditionalFormatting sqref="D84 F84 H84 J84 L84 J96 D96 F96 H96 D90:D92 F90:F92 H90:H92 J90:J92 L90:L92 L96 D74:D77 F74:F77 H74:H77 J74:J77 L74:L77 D28 F28 H28 J28 L28 D34 F34 H34 J34 L34 D40 F40 H40 J40 L40 D46 F46 H46 J46 L46 D52 F52 H52 J52 L52 D58 F58 H58 J58 L58 D65:D66 F65:F66 H65:H66 J65:J66 L65:L66 L20 D20 F20 H20 J20 L102:L104 H102:H104 F102:F104 D102:D104 J102:J104">
    <cfRule type="cellIs" dxfId="10" priority="7" stopIfTrue="1" operator="equal">
      <formula>"ERROR"</formula>
    </cfRule>
  </conditionalFormatting>
  <conditionalFormatting sqref="O112">
    <cfRule type="cellIs" dxfId="9" priority="6" stopIfTrue="1" operator="equal">
      <formula>"ERROR - Cannot be a negative amount. Review adjustments above, especially lines 80-95."</formula>
    </cfRule>
  </conditionalFormatting>
  <conditionalFormatting sqref="O83">
    <cfRule type="cellIs" dxfId="8" priority="5" stopIfTrue="1" operator="equal">
      <formula>"See below error - Invested in capital assets"</formula>
    </cfRule>
  </conditionalFormatting>
  <conditionalFormatting sqref="O89 O95">
    <cfRule type="cellIs" dxfId="7" priority="4" stopIfTrue="1" operator="equal">
      <formula>"See below error - Invested in capital assets"</formula>
    </cfRule>
  </conditionalFormatting>
  <conditionalFormatting sqref="O118">
    <cfRule type="cellIs" dxfId="6" priority="3" stopIfTrue="1" operator="equal">
      <formula>"ERROR - Cannot be a negative amount. Review adjustments above, especially lines 25-26."</formula>
    </cfRule>
  </conditionalFormatting>
  <conditionalFormatting sqref="L99:L100 H99:H100 F99:F100 J99:J100 D99:D101 E101:N101">
    <cfRule type="cellIs" dxfId="5" priority="2" stopIfTrue="1" operator="equal">
      <formula>"ERROR"</formula>
    </cfRule>
  </conditionalFormatting>
  <conditionalFormatting sqref="D97:D98 F97:F98 H97:H98 J97:J98 L97:L98">
    <cfRule type="cellIs" dxfId="4" priority="1" stopIfTrue="1" operator="equal">
      <formula>"ERROR"</formula>
    </cfRule>
  </conditionalFormatting>
  <pageMargins left="0.3" right="0.3" top="0.4" bottom="0.4" header="0.5" footer="0.2"/>
  <pageSetup scale="69" fitToHeight="3" orientation="landscape" r:id="rId1"/>
  <headerFooter alignWithMargins="0">
    <oddFooter>&amp;L&amp;F &amp;A&amp;C&amp;P of &amp;N&amp;R&amp;D</oddFooter>
  </headerFooter>
  <rowBreaks count="1" manualBreakCount="1">
    <brk id="119" max="16383" man="1"/>
  </rowBreaks>
  <ignoredErrors>
    <ignoredError sqref="N17" unlockedFormula="1"/>
    <ignoredError sqref="A1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60"/>
  <sheetViews>
    <sheetView zoomScaleNormal="100" workbookViewId="0">
      <selection activeCell="K61" sqref="K61"/>
    </sheetView>
  </sheetViews>
  <sheetFormatPr defaultRowHeight="13.2" x14ac:dyDescent="0.25"/>
  <cols>
    <col min="1" max="1" width="3.6640625" customWidth="1"/>
    <col min="2" max="2" width="47.109375" customWidth="1"/>
    <col min="3" max="3" width="1.6640625" customWidth="1"/>
    <col min="4" max="4" width="13.5546875" customWidth="1"/>
    <col min="5" max="5" width="1.6640625" customWidth="1"/>
    <col min="6" max="6" width="16.5546875" customWidth="1"/>
    <col min="7" max="7" width="2.33203125" customWidth="1"/>
    <col min="8" max="8" width="15.44140625" customWidth="1"/>
    <col min="9" max="9" width="2" customWidth="1"/>
    <col min="10" max="10" width="10.88671875" customWidth="1"/>
    <col min="12" max="12" width="24.44140625" style="298" customWidth="1"/>
    <col min="13" max="13" width="15.88671875" customWidth="1"/>
    <col min="15" max="15" width="12.88671875" customWidth="1"/>
    <col min="16" max="16" width="9.44140625" customWidth="1"/>
  </cols>
  <sheetData>
    <row r="1" spans="1:17" ht="12.75" customHeight="1" x14ac:dyDescent="0.3">
      <c r="A1" s="1" t="str">
        <f>CONCATENATE(Info!D7," Foundations")</f>
        <v>UNC System Office Foundations</v>
      </c>
      <c r="C1" s="13"/>
      <c r="D1" s="34"/>
      <c r="E1" s="13"/>
      <c r="J1" s="34" t="s">
        <v>63</v>
      </c>
      <c r="O1" s="303" t="s">
        <v>405</v>
      </c>
      <c r="P1" s="303" t="str">
        <f>F3</f>
        <v>U10F</v>
      </c>
      <c r="Q1" s="299" t="s">
        <v>406</v>
      </c>
    </row>
    <row r="2" spans="1:17" ht="12.75" customHeight="1" x14ac:dyDescent="0.3">
      <c r="A2" s="1" t="s">
        <v>464</v>
      </c>
      <c r="C2" s="13"/>
      <c r="D2" s="13"/>
      <c r="E2" s="13"/>
      <c r="L2" s="300"/>
      <c r="M2" s="154"/>
      <c r="O2" s="303" t="s">
        <v>407</v>
      </c>
      <c r="P2" s="303" t="str">
        <f>VLOOKUP(Info!D6,FCCSnum,2,FALSE)</f>
        <v>U100</v>
      </c>
      <c r="Q2" s="299" t="s">
        <v>408</v>
      </c>
    </row>
    <row r="3" spans="1:17" ht="12.75" customHeight="1" x14ac:dyDescent="0.25">
      <c r="A3" s="129" t="s">
        <v>307</v>
      </c>
      <c r="C3" s="13"/>
      <c r="D3" s="13"/>
      <c r="E3" s="13"/>
      <c r="F3" s="28" t="str">
        <f>CONCATENATE(Info!D6,"F")</f>
        <v>U10F</v>
      </c>
      <c r="L3" s="300"/>
      <c r="M3" s="154"/>
    </row>
    <row r="4" spans="1:17" ht="12.75" customHeight="1" x14ac:dyDescent="0.25">
      <c r="A4" s="198" t="s">
        <v>446</v>
      </c>
      <c r="L4" s="300"/>
      <c r="M4" s="154"/>
    </row>
    <row r="5" spans="1:17" ht="12.75" customHeight="1" x14ac:dyDescent="0.25">
      <c r="D5" s="131" t="s">
        <v>297</v>
      </c>
      <c r="F5" s="4" t="s">
        <v>306</v>
      </c>
      <c r="H5" s="4" t="s">
        <v>305</v>
      </c>
      <c r="J5" s="4" t="s">
        <v>304</v>
      </c>
      <c r="L5" s="300"/>
      <c r="M5" s="154"/>
    </row>
    <row r="6" spans="1:17" x14ac:dyDescent="0.25">
      <c r="B6" s="1" t="s">
        <v>30</v>
      </c>
      <c r="L6" s="300"/>
      <c r="M6" s="154"/>
    </row>
    <row r="7" spans="1:17" x14ac:dyDescent="0.25">
      <c r="A7" s="36">
        <v>100</v>
      </c>
      <c r="B7" s="3" t="s">
        <v>0</v>
      </c>
      <c r="D7" s="30">
        <f ca="1">SUMIF(FASB_BS,A7,'Exh A'!$N$9:$N$42)</f>
        <v>0</v>
      </c>
      <c r="E7" s="12"/>
      <c r="F7" s="30">
        <f>HLOOKUP($F$3,PriorYrExhD!$E$2:$V$17,6,FALSE)</f>
        <v>0</v>
      </c>
      <c r="H7" s="132">
        <f ca="1">D7-F7</f>
        <v>0</v>
      </c>
      <c r="J7" s="130">
        <f>IF(F7=0,0,H7/F7)</f>
        <v>0</v>
      </c>
      <c r="L7" s="301">
        <v>11111000</v>
      </c>
      <c r="M7" s="154"/>
    </row>
    <row r="8" spans="1:17" x14ac:dyDescent="0.25">
      <c r="A8" s="36">
        <v>105</v>
      </c>
      <c r="B8" s="3" t="s">
        <v>1</v>
      </c>
      <c r="D8" s="12">
        <f ca="1">SUMIF(FASB_BS,A8,'Exh A'!$N$9:$N$42)+SUMIF(FASB_ADJ,A8,Adjustments!$N$7:$N$72)</f>
        <v>0</v>
      </c>
      <c r="E8" s="12"/>
      <c r="F8" s="12">
        <f>HLOOKUP($F$3,PriorYrExhD!$E$2:$V$17,7,FALSE)</f>
        <v>0</v>
      </c>
      <c r="H8" s="132">
        <f t="shared" ref="H8:H17" ca="1" si="0">D8-F8</f>
        <v>0</v>
      </c>
      <c r="J8" s="130">
        <f t="shared" ref="J8:J17" si="1">IF(F8=0,0,H8/F8)</f>
        <v>0</v>
      </c>
      <c r="L8" s="301">
        <v>11210100</v>
      </c>
    </row>
    <row r="9" spans="1:17" x14ac:dyDescent="0.25">
      <c r="A9" s="36">
        <v>110</v>
      </c>
      <c r="B9" s="14" t="s">
        <v>27</v>
      </c>
      <c r="D9" s="12">
        <f ca="1">SUMIF(FASB_BS,A9,'Exh A'!$N$9:$N$42)</f>
        <v>0</v>
      </c>
      <c r="E9" s="12"/>
      <c r="F9" s="12">
        <f>HLOOKUP($F$3,PriorYrExhD!$E$2:$V$17,8,FALSE)</f>
        <v>0</v>
      </c>
      <c r="H9" s="132">
        <f t="shared" ca="1" si="0"/>
        <v>0</v>
      </c>
      <c r="J9" s="130">
        <f t="shared" si="1"/>
        <v>0</v>
      </c>
      <c r="L9" s="301">
        <v>11320000</v>
      </c>
    </row>
    <row r="10" spans="1:17" x14ac:dyDescent="0.25">
      <c r="A10" s="36">
        <v>112</v>
      </c>
      <c r="B10" s="14" t="s">
        <v>352</v>
      </c>
      <c r="D10" s="12">
        <f ca="1">SUMIF(FASB_BS,A10,'Exh A'!$N$9:$N$42)</f>
        <v>0</v>
      </c>
      <c r="E10" s="12"/>
      <c r="F10" s="12">
        <f>HLOOKUP($F$3,PriorYrExhD!$E$2:$V$17,9,FALSE)</f>
        <v>0</v>
      </c>
      <c r="H10" s="132">
        <f t="shared" ca="1" si="0"/>
        <v>0</v>
      </c>
      <c r="J10" s="130">
        <f t="shared" si="1"/>
        <v>0</v>
      </c>
      <c r="K10" s="181"/>
      <c r="L10" s="301">
        <v>11480000</v>
      </c>
    </row>
    <row r="11" spans="1:17" x14ac:dyDescent="0.25">
      <c r="A11" s="36">
        <v>115</v>
      </c>
      <c r="B11" s="3" t="s">
        <v>28</v>
      </c>
      <c r="D11" s="12">
        <f ca="1">SUMIF(FASB_BS,A11,'Exh A'!$N$9:$N$42)</f>
        <v>0</v>
      </c>
      <c r="E11" s="12"/>
      <c r="F11" s="12">
        <f>HLOOKUP($F$3,PriorYrExhD!$E$2:$V$17,10,FALSE)</f>
        <v>0</v>
      </c>
      <c r="H11" s="132">
        <f t="shared" ca="1" si="0"/>
        <v>0</v>
      </c>
      <c r="J11" s="130">
        <f t="shared" si="1"/>
        <v>0</v>
      </c>
      <c r="L11" s="301">
        <v>11611000</v>
      </c>
    </row>
    <row r="12" spans="1:17" x14ac:dyDescent="0.25">
      <c r="A12" s="36">
        <v>120</v>
      </c>
      <c r="B12" s="3" t="s">
        <v>65</v>
      </c>
      <c r="D12" s="12">
        <f ca="1">SUMIF(FASB_BS,A12,'Exh A'!$N$9:$N$42)</f>
        <v>0</v>
      </c>
      <c r="E12" s="12"/>
      <c r="F12" s="12">
        <f>HLOOKUP($F$3,PriorYrExhD!$E$2:$V$17,11,FALSE)</f>
        <v>0</v>
      </c>
      <c r="H12" s="132">
        <f t="shared" ca="1" si="0"/>
        <v>0</v>
      </c>
      <c r="J12" s="130">
        <f t="shared" si="1"/>
        <v>0</v>
      </c>
      <c r="L12" s="301">
        <v>11910000</v>
      </c>
    </row>
    <row r="13" spans="1:17" x14ac:dyDescent="0.25">
      <c r="A13" s="36">
        <v>125</v>
      </c>
      <c r="B13" s="3" t="s">
        <v>29</v>
      </c>
      <c r="D13" s="12">
        <f ca="1">SUMIF(FASB_BS,A13,'Exh A'!$N$9:$N$42)</f>
        <v>0</v>
      </c>
      <c r="E13" s="12"/>
      <c r="F13" s="12">
        <f>HLOOKUP($F$3,PriorYrExhD!$E$2:$V$17,12,FALSE)</f>
        <v>0</v>
      </c>
      <c r="H13" s="132">
        <f t="shared" ca="1" si="0"/>
        <v>0</v>
      </c>
      <c r="J13" s="130">
        <f t="shared" si="1"/>
        <v>0</v>
      </c>
      <c r="L13" s="301">
        <v>11510000</v>
      </c>
    </row>
    <row r="14" spans="1:17" x14ac:dyDescent="0.25">
      <c r="A14" s="36">
        <v>128</v>
      </c>
      <c r="B14" s="3" t="s">
        <v>316</v>
      </c>
      <c r="D14" s="12">
        <f ca="1">SUMIF(FASB_BS,A14,'Exh A'!$N$9:$N$42)</f>
        <v>0</v>
      </c>
      <c r="E14" s="12"/>
      <c r="F14" s="12">
        <f>HLOOKUP($F$3,PriorYrExhD!$E$2:$V$17,13,FALSE)</f>
        <v>0</v>
      </c>
      <c r="H14" s="132">
        <f ca="1">D14-F14</f>
        <v>0</v>
      </c>
      <c r="J14" s="130">
        <f>IF(F14=0,0,H14/F14)</f>
        <v>0</v>
      </c>
      <c r="K14" s="35"/>
      <c r="L14" s="301" t="s">
        <v>409</v>
      </c>
    </row>
    <row r="15" spans="1:17" x14ac:dyDescent="0.25">
      <c r="A15" s="36">
        <v>130</v>
      </c>
      <c r="B15" s="3" t="s">
        <v>215</v>
      </c>
      <c r="D15" s="12">
        <f ca="1">SUMIF(FASB_ADJ,A15,Adjustments!$N$7:$N$72)</f>
        <v>0</v>
      </c>
      <c r="E15" s="12"/>
      <c r="F15" s="12">
        <f>HLOOKUP($F$3,PriorYrExhD!$E$2:$V$17,14,FALSE)</f>
        <v>0</v>
      </c>
      <c r="H15" s="132">
        <f t="shared" ca="1" si="0"/>
        <v>0</v>
      </c>
      <c r="J15" s="130">
        <f t="shared" si="1"/>
        <v>0</v>
      </c>
      <c r="L15" s="301">
        <v>11212500</v>
      </c>
    </row>
    <row r="16" spans="1:17" x14ac:dyDescent="0.25">
      <c r="A16" s="36">
        <v>140</v>
      </c>
      <c r="B16" s="3" t="s">
        <v>66</v>
      </c>
      <c r="D16" s="12">
        <f ca="1">SUMIF(FASB_ADJ,A16,Adjustments!$N$7:$N$72)</f>
        <v>0</v>
      </c>
      <c r="E16" s="12"/>
      <c r="F16" s="12">
        <f>HLOOKUP($F$3,PriorYrExhD!$E$2:$V$17,15,FALSE)</f>
        <v>0</v>
      </c>
      <c r="H16" s="132">
        <f t="shared" ca="1" si="0"/>
        <v>0</v>
      </c>
      <c r="J16" s="130">
        <f t="shared" si="1"/>
        <v>0</v>
      </c>
      <c r="L16" s="301">
        <v>12700000</v>
      </c>
    </row>
    <row r="17" spans="1:12" x14ac:dyDescent="0.25">
      <c r="A17" s="36">
        <v>145</v>
      </c>
      <c r="B17" s="3" t="s">
        <v>67</v>
      </c>
      <c r="D17" s="12">
        <f ca="1">SUMIF(FASB_ADJ,A17,Adjustments!$N$7:$N$72)</f>
        <v>0</v>
      </c>
      <c r="E17" s="12"/>
      <c r="F17" s="12">
        <f>HLOOKUP($F$3,PriorYrExhD!$E$2:$V$17,16,FALSE)</f>
        <v>0</v>
      </c>
      <c r="H17" s="132">
        <f t="shared" ca="1" si="0"/>
        <v>0</v>
      </c>
      <c r="J17" s="130">
        <f t="shared" si="1"/>
        <v>0</v>
      </c>
      <c r="L17" s="301">
        <v>12710000</v>
      </c>
    </row>
    <row r="18" spans="1:12" x14ac:dyDescent="0.25">
      <c r="A18" s="36"/>
      <c r="B18" s="1" t="s">
        <v>6</v>
      </c>
      <c r="D18" s="22">
        <f ca="1">SUM(D7:D17)</f>
        <v>0</v>
      </c>
      <c r="E18" s="12"/>
      <c r="F18" s="22">
        <f>SUM(F7:F17)</f>
        <v>0</v>
      </c>
    </row>
    <row r="19" spans="1:12" ht="12.75" customHeight="1" x14ac:dyDescent="0.25">
      <c r="A19" s="36"/>
      <c r="B19" s="1"/>
    </row>
    <row r="20" spans="1:12" x14ac:dyDescent="0.25">
      <c r="A20" s="36"/>
      <c r="B20" s="1" t="s">
        <v>37</v>
      </c>
    </row>
    <row r="21" spans="1:12" x14ac:dyDescent="0.25">
      <c r="A21" s="36">
        <v>200</v>
      </c>
      <c r="B21" s="14" t="s">
        <v>38</v>
      </c>
      <c r="D21" s="12">
        <f ca="1">SUMIF(FASB_BS,A21,'Exh A'!$N$9:$N$42)</f>
        <v>0</v>
      </c>
      <c r="E21" s="12"/>
      <c r="F21" s="12">
        <f>HLOOKUP($F$3,PriorYrExhD!$E$2:$V$30,20,FALSE)</f>
        <v>0</v>
      </c>
      <c r="H21" s="132">
        <f ca="1">D21-F21</f>
        <v>0</v>
      </c>
      <c r="J21" s="130">
        <f>IF(F21=0,0,H21/F21)</f>
        <v>0</v>
      </c>
      <c r="L21" s="301">
        <v>21110000</v>
      </c>
    </row>
    <row r="22" spans="1:12" ht="15.6" x14ac:dyDescent="0.25">
      <c r="A22" s="36">
        <v>202</v>
      </c>
      <c r="B22" s="14" t="s">
        <v>136</v>
      </c>
      <c r="D22" s="12">
        <f ca="1">SUMIF(FASB_BS,A22,'Exh A'!$N$9:$N$42)</f>
        <v>0</v>
      </c>
      <c r="E22" s="12"/>
      <c r="F22" s="12">
        <f>HLOOKUP($F$3,PriorYrExhD!$E$2:$V$30,21,FALSE)</f>
        <v>0</v>
      </c>
      <c r="H22" s="132">
        <f t="shared" ref="H22:H30" ca="1" si="2">D22-F22</f>
        <v>0</v>
      </c>
      <c r="J22" s="130">
        <f t="shared" ref="J22:J30" si="3">IF(F22=0,0,H22/F22)</f>
        <v>0</v>
      </c>
      <c r="L22" s="301">
        <v>21270000</v>
      </c>
    </row>
    <row r="23" spans="1:12" ht="15.6" x14ac:dyDescent="0.25">
      <c r="A23" s="36">
        <v>203</v>
      </c>
      <c r="B23" s="14" t="s">
        <v>111</v>
      </c>
      <c r="D23" s="12">
        <f ca="1">SUMIF(FASB_BS,A23,'Exh A'!$N$9:$N$42)</f>
        <v>0</v>
      </c>
      <c r="E23" s="12"/>
      <c r="F23" s="12">
        <f>HLOOKUP($F$3,PriorYrExhD!$E$2:$V$30,22,FALSE)</f>
        <v>0</v>
      </c>
      <c r="H23" s="132">
        <f t="shared" ca="1" si="2"/>
        <v>0</v>
      </c>
      <c r="J23" s="130">
        <f t="shared" si="3"/>
        <v>0</v>
      </c>
      <c r="L23" s="301" t="s">
        <v>410</v>
      </c>
    </row>
    <row r="24" spans="1:12" x14ac:dyDescent="0.25">
      <c r="A24" s="36">
        <v>205</v>
      </c>
      <c r="B24" s="14" t="s">
        <v>214</v>
      </c>
      <c r="D24" s="12">
        <f ca="1">SUMIF(FASB_BS,A24,'Exh A'!$N$9:$N$42)</f>
        <v>0</v>
      </c>
      <c r="E24" s="12"/>
      <c r="F24" s="12">
        <f>HLOOKUP($F$3,PriorYrExhD!$E$2:$V$30,23,FALSE)</f>
        <v>0</v>
      </c>
      <c r="H24" s="132">
        <f t="shared" ca="1" si="2"/>
        <v>0</v>
      </c>
      <c r="J24" s="130">
        <f t="shared" si="3"/>
        <v>0</v>
      </c>
      <c r="L24" s="301">
        <v>21811000</v>
      </c>
    </row>
    <row r="25" spans="1:12" x14ac:dyDescent="0.25">
      <c r="A25" s="36">
        <v>210</v>
      </c>
      <c r="B25" s="14" t="s">
        <v>10</v>
      </c>
      <c r="D25" s="12">
        <f ca="1">SUMIF(FASB_BS,A25,'Exh A'!$N$9:$N$42)</f>
        <v>0</v>
      </c>
      <c r="E25" s="12"/>
      <c r="F25" s="12">
        <f>HLOOKUP($F$3,PriorYrExhD!$E$2:$V$30,24,FALSE)</f>
        <v>0</v>
      </c>
      <c r="H25" s="132">
        <f t="shared" ca="1" si="2"/>
        <v>0</v>
      </c>
      <c r="J25" s="130">
        <f t="shared" si="3"/>
        <v>0</v>
      </c>
      <c r="L25" s="301">
        <v>21621000</v>
      </c>
    </row>
    <row r="26" spans="1:12" x14ac:dyDescent="0.25">
      <c r="A26" s="36">
        <v>215</v>
      </c>
      <c r="B26" s="14" t="s">
        <v>11</v>
      </c>
      <c r="D26" s="12">
        <f ca="1">SUMIF(FASB_BS,A26,'Exh A'!$N$9:$N$42)</f>
        <v>0</v>
      </c>
      <c r="E26" s="12"/>
      <c r="F26" s="12">
        <f>HLOOKUP($F$3,PriorYrExhD!$E$2:$V$30,25,FALSE)</f>
        <v>0</v>
      </c>
      <c r="H26" s="132">
        <f t="shared" ca="1" si="2"/>
        <v>0</v>
      </c>
      <c r="J26" s="130">
        <f t="shared" si="3"/>
        <v>0</v>
      </c>
      <c r="L26" s="301">
        <v>21712000</v>
      </c>
    </row>
    <row r="27" spans="1:12" x14ac:dyDescent="0.25">
      <c r="A27" s="36">
        <v>220</v>
      </c>
      <c r="B27" s="14" t="s">
        <v>70</v>
      </c>
      <c r="D27" s="12">
        <f ca="1">SUMIF(FASB_BS,A27,'Exh A'!$N$9:$N$42)</f>
        <v>0</v>
      </c>
      <c r="E27" s="12"/>
      <c r="F27" s="12">
        <f>HLOOKUP($F$3,PriorYrExhD!$E$2:$V$30,26,FALSE)</f>
        <v>0</v>
      </c>
      <c r="H27" s="132">
        <f t="shared" ca="1" si="2"/>
        <v>0</v>
      </c>
      <c r="J27" s="130">
        <f t="shared" si="3"/>
        <v>0</v>
      </c>
      <c r="L27" s="301">
        <v>21719000</v>
      </c>
    </row>
    <row r="28" spans="1:12" x14ac:dyDescent="0.25">
      <c r="A28" s="36"/>
      <c r="B28" s="14" t="s">
        <v>139</v>
      </c>
      <c r="D28" s="12"/>
      <c r="E28" s="12"/>
      <c r="F28" s="12">
        <f>HLOOKUP($F$3,PriorYrExhD!$E$2:$V$30,27,FALSE)</f>
        <v>0</v>
      </c>
      <c r="H28" s="132">
        <f t="shared" si="2"/>
        <v>0</v>
      </c>
      <c r="J28" s="130">
        <f t="shared" si="3"/>
        <v>0</v>
      </c>
    </row>
    <row r="29" spans="1:12" x14ac:dyDescent="0.25">
      <c r="A29" s="36">
        <v>260</v>
      </c>
      <c r="B29" s="59" t="s">
        <v>138</v>
      </c>
      <c r="D29" s="12">
        <f ca="1">SUMIF(FASB_ADJ,A29,Adjustments!$N$7:$N$72)</f>
        <v>0</v>
      </c>
      <c r="E29" s="12"/>
      <c r="F29" s="12">
        <f>HLOOKUP($F$3,PriorYrExhD!$E$2:$V$30,28,FALSE)</f>
        <v>0</v>
      </c>
      <c r="H29" s="132">
        <f t="shared" ca="1" si="2"/>
        <v>0</v>
      </c>
      <c r="J29" s="130">
        <f t="shared" si="3"/>
        <v>0</v>
      </c>
      <c r="L29" s="301" t="s">
        <v>411</v>
      </c>
    </row>
    <row r="30" spans="1:12" x14ac:dyDescent="0.25">
      <c r="A30" s="36">
        <v>261</v>
      </c>
      <c r="B30" s="59" t="s">
        <v>140</v>
      </c>
      <c r="D30" s="10">
        <f ca="1">SUMIF(FASB_ADJ,A30,Adjustments!$N$7:$N$72)</f>
        <v>0</v>
      </c>
      <c r="E30" s="12"/>
      <c r="F30" s="12">
        <f>HLOOKUP($F$3,PriorYrExhD!$E$2:$V$30,29,FALSE)</f>
        <v>0</v>
      </c>
      <c r="H30" s="132">
        <f t="shared" ca="1" si="2"/>
        <v>0</v>
      </c>
      <c r="J30" s="130">
        <f t="shared" si="3"/>
        <v>0</v>
      </c>
      <c r="L30" s="301" t="s">
        <v>412</v>
      </c>
    </row>
    <row r="31" spans="1:12" x14ac:dyDescent="0.25">
      <c r="B31" s="1" t="s">
        <v>16</v>
      </c>
      <c r="D31" s="10">
        <f ca="1">SUM(D21:D30)</f>
        <v>0</v>
      </c>
      <c r="E31" s="12"/>
      <c r="F31" s="22">
        <f>SUM(F21:F30)</f>
        <v>0</v>
      </c>
    </row>
    <row r="32" spans="1:12" ht="12.75" customHeight="1" x14ac:dyDescent="0.25">
      <c r="B32" s="13"/>
    </row>
    <row r="33" spans="1:13" x14ac:dyDescent="0.25">
      <c r="B33" s="1" t="s">
        <v>318</v>
      </c>
    </row>
    <row r="34" spans="1:13" x14ac:dyDescent="0.25">
      <c r="B34" s="13" t="s">
        <v>319</v>
      </c>
      <c r="D34" s="12">
        <f>Adjustments!N112</f>
        <v>0</v>
      </c>
      <c r="E34" s="12"/>
      <c r="F34" s="12">
        <f>HLOOKUP($F$3,PriorYrExhD!$E$2:$V$40,33,FALSE)</f>
        <v>0</v>
      </c>
      <c r="H34" s="132">
        <f>D34-F34</f>
        <v>0</v>
      </c>
      <c r="J34" s="130">
        <f>IF(F34=0,0,H34/F34)</f>
        <v>0</v>
      </c>
      <c r="L34" s="301" t="s">
        <v>413</v>
      </c>
      <c r="M34" s="302" t="s">
        <v>414</v>
      </c>
    </row>
    <row r="35" spans="1:13" x14ac:dyDescent="0.25">
      <c r="B35" t="s">
        <v>33</v>
      </c>
      <c r="L35" s="301"/>
      <c r="M35" s="302"/>
    </row>
    <row r="36" spans="1:13" x14ac:dyDescent="0.25">
      <c r="B36" s="3" t="s">
        <v>34</v>
      </c>
      <c r="L36" s="301"/>
      <c r="M36" s="302"/>
    </row>
    <row r="37" spans="1:13" x14ac:dyDescent="0.25">
      <c r="B37" s="288" t="s">
        <v>46</v>
      </c>
      <c r="C37" s="267"/>
      <c r="D37" s="289">
        <f>Adjustments!N98</f>
        <v>0</v>
      </c>
      <c r="E37" s="12"/>
      <c r="F37" s="12">
        <f>HLOOKUP($F$3,PriorYrExhD!$E$2:$V$40,36,FALSE)</f>
        <v>0</v>
      </c>
      <c r="H37" s="132">
        <f>D37-F37</f>
        <v>0</v>
      </c>
      <c r="J37" s="130">
        <f>IF(F37=0,0,H37/F37)</f>
        <v>0</v>
      </c>
      <c r="K37" s="196"/>
      <c r="L37" s="301" t="s">
        <v>415</v>
      </c>
      <c r="M37" s="302" t="s">
        <v>416</v>
      </c>
    </row>
    <row r="38" spans="1:13" x14ac:dyDescent="0.25">
      <c r="B38" s="3" t="s">
        <v>36</v>
      </c>
      <c r="L38" s="301"/>
      <c r="M38" s="302"/>
    </row>
    <row r="39" spans="1:13" x14ac:dyDescent="0.25">
      <c r="B39" s="2" t="s">
        <v>46</v>
      </c>
      <c r="D39" s="12">
        <f>Adjustments!N118</f>
        <v>0</v>
      </c>
      <c r="E39" s="12"/>
      <c r="F39" s="12">
        <f>HLOOKUP($F$3,PriorYrExhD!$E$2:$V$40,38,FALSE)</f>
        <v>0</v>
      </c>
      <c r="H39" s="132">
        <f>D39-F39</f>
        <v>0</v>
      </c>
      <c r="J39" s="130">
        <f>IF(F39=0,0,H39/F39)</f>
        <v>0</v>
      </c>
      <c r="L39" s="301" t="s">
        <v>417</v>
      </c>
      <c r="M39" s="302" t="s">
        <v>416</v>
      </c>
    </row>
    <row r="40" spans="1:13" x14ac:dyDescent="0.25">
      <c r="B40" t="s">
        <v>15</v>
      </c>
      <c r="D40" s="10">
        <f>Adjustments!N125</f>
        <v>0</v>
      </c>
      <c r="E40" s="12"/>
      <c r="F40" s="12">
        <f>HLOOKUP($F$3,PriorYrExhD!$E$2:$V$40,39,FALSE)</f>
        <v>0</v>
      </c>
      <c r="H40" s="132">
        <f>D40-F40</f>
        <v>0</v>
      </c>
      <c r="J40" s="130">
        <f>IF(F40=0,0,H40/F40)</f>
        <v>0</v>
      </c>
      <c r="L40" s="301" t="s">
        <v>418</v>
      </c>
      <c r="M40" s="302" t="s">
        <v>419</v>
      </c>
    </row>
    <row r="41" spans="1:13" ht="13.8" thickBot="1" x14ac:dyDescent="0.3">
      <c r="B41" s="1" t="s">
        <v>320</v>
      </c>
      <c r="D41" s="11">
        <f>SUM(D34:D40)</f>
        <v>0</v>
      </c>
      <c r="E41" s="12"/>
      <c r="F41" s="11">
        <f>SUM(F34:F40)</f>
        <v>0</v>
      </c>
    </row>
    <row r="42" spans="1:13" ht="13.8" thickTop="1" x14ac:dyDescent="0.25"/>
    <row r="43" spans="1:13" x14ac:dyDescent="0.25">
      <c r="B43" s="24" t="s">
        <v>321</v>
      </c>
      <c r="D43" s="38" t="str">
        <f ca="1">IF(D18-D31=D41,"OK","ERROR")</f>
        <v>OK</v>
      </c>
      <c r="F43" s="38" t="str">
        <f>IF(F18-F31=F41,"OK","ERROR")</f>
        <v>OK</v>
      </c>
    </row>
    <row r="44" spans="1:13" x14ac:dyDescent="0.25">
      <c r="B44" s="24"/>
    </row>
    <row r="45" spans="1:13" x14ac:dyDescent="0.25">
      <c r="A45" s="26" t="s">
        <v>26</v>
      </c>
    </row>
    <row r="47" spans="1:13" x14ac:dyDescent="0.25">
      <c r="A47" s="51" t="s">
        <v>78</v>
      </c>
      <c r="B47" t="s">
        <v>465</v>
      </c>
    </row>
    <row r="48" spans="1:13" x14ac:dyDescent="0.25">
      <c r="B48" t="s">
        <v>112</v>
      </c>
    </row>
    <row r="50" spans="1:8" x14ac:dyDescent="0.25">
      <c r="A50" s="33" t="s">
        <v>82</v>
      </c>
      <c r="B50" s="13" t="s">
        <v>294</v>
      </c>
    </row>
    <row r="51" spans="1:8" x14ac:dyDescent="0.25">
      <c r="B51" s="13" t="s">
        <v>296</v>
      </c>
    </row>
    <row r="52" spans="1:8" x14ac:dyDescent="0.25">
      <c r="B52" s="13" t="s">
        <v>295</v>
      </c>
    </row>
    <row r="53" spans="1:8" x14ac:dyDescent="0.25">
      <c r="B53" s="199" t="s">
        <v>404</v>
      </c>
    </row>
    <row r="55" spans="1:8" x14ac:dyDescent="0.25">
      <c r="B55" s="268" t="s">
        <v>339</v>
      </c>
      <c r="C55" s="267"/>
      <c r="D55" s="267"/>
      <c r="E55" s="267"/>
      <c r="F55" s="267"/>
      <c r="G55" s="267"/>
      <c r="H55" s="267"/>
    </row>
    <row r="56" spans="1:8" x14ac:dyDescent="0.25">
      <c r="B56" s="268" t="s">
        <v>336</v>
      </c>
      <c r="C56" s="267"/>
      <c r="D56" s="267"/>
      <c r="E56" s="267"/>
      <c r="F56" s="267"/>
      <c r="G56" s="267"/>
      <c r="H56" s="267"/>
    </row>
    <row r="57" spans="1:8" x14ac:dyDescent="0.25">
      <c r="B57" s="268" t="s">
        <v>337</v>
      </c>
      <c r="C57" s="267"/>
      <c r="D57" s="267"/>
      <c r="E57" s="267"/>
      <c r="F57" s="267"/>
      <c r="G57" s="267"/>
      <c r="H57" s="267"/>
    </row>
    <row r="58" spans="1:8" x14ac:dyDescent="0.25">
      <c r="B58" s="268" t="s">
        <v>338</v>
      </c>
      <c r="C58" s="267"/>
      <c r="D58" s="267"/>
      <c r="E58" s="267"/>
      <c r="F58" s="267"/>
      <c r="G58" s="267"/>
      <c r="H58" s="267"/>
    </row>
    <row r="59" spans="1:8" x14ac:dyDescent="0.25">
      <c r="B59" s="268" t="s">
        <v>341</v>
      </c>
      <c r="C59" s="267"/>
      <c r="D59" s="267"/>
      <c r="E59" s="267"/>
      <c r="F59" s="267"/>
      <c r="G59" s="267"/>
      <c r="H59" s="267"/>
    </row>
    <row r="60" spans="1:8" x14ac:dyDescent="0.25">
      <c r="B60" s="268" t="s">
        <v>340</v>
      </c>
      <c r="C60" s="267"/>
      <c r="D60" s="267"/>
      <c r="E60" s="267"/>
      <c r="F60" s="267"/>
      <c r="G60" s="267"/>
      <c r="H60" s="267"/>
    </row>
  </sheetData>
  <sheetProtection algorithmName="SHA-512" hashValue="2P7R+wJLrR3OCCMqvdNoF6/IsvHd6OXldf8AoGHVl2a6tM5BMwD9bLewbUzE476jw0tEAMjuJW6oP5DIyUPcQg==" saltValue="JEwou+TJpsb6+yPrU3OMpQ==" spinCount="100000" sheet="1" autoFilter="0"/>
  <phoneticPr fontId="0" type="noConversion"/>
  <conditionalFormatting sqref="D43">
    <cfRule type="cellIs" dxfId="3" priority="2" stopIfTrue="1" operator="equal">
      <formula>"ERROR"</formula>
    </cfRule>
  </conditionalFormatting>
  <conditionalFormatting sqref="F43">
    <cfRule type="cellIs" dxfId="2" priority="1" stopIfTrue="1" operator="equal">
      <formula>"ERROR"</formula>
    </cfRule>
  </conditionalFormatting>
  <pageMargins left="0.75" right="0.75" top="0.5" bottom="0.5" header="0.5" footer="0.2"/>
  <pageSetup scale="95" orientation="landscape" r:id="rId1"/>
  <headerFooter alignWithMargins="0">
    <oddFooter>&amp;L&amp;F &amp;A&amp;C&amp;P of &amp;N&amp;R&amp;D</oddFooter>
  </headerFooter>
  <rowBreaks count="1" manualBreakCount="1">
    <brk id="43" max="16383" man="1"/>
  </rowBreaks>
  <ignoredErrors>
    <ignoredError sqref="D8 D15" formula="1"/>
    <ignoredError sqref="A47 A5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48"/>
  <sheetViews>
    <sheetView zoomScaleNormal="100" workbookViewId="0">
      <selection activeCell="J33" sqref="J33"/>
    </sheetView>
  </sheetViews>
  <sheetFormatPr defaultRowHeight="13.2" x14ac:dyDescent="0.25"/>
  <cols>
    <col min="1" max="1" width="3.6640625" customWidth="1"/>
    <col min="2" max="2" width="48.6640625" customWidth="1"/>
    <col min="3" max="3" width="1.6640625" customWidth="1"/>
    <col min="4" max="4" width="15.109375" bestFit="1" customWidth="1"/>
    <col min="5" max="5" width="1.6640625" customWidth="1"/>
    <col min="6" max="6" width="17.6640625" customWidth="1"/>
    <col min="7" max="7" width="3.44140625" customWidth="1"/>
    <col min="8" max="8" width="15.109375" customWidth="1"/>
    <col min="9" max="9" width="3.5546875" customWidth="1"/>
    <col min="10" max="10" width="11.33203125" customWidth="1"/>
    <col min="12" max="12" width="16.33203125" style="301" customWidth="1"/>
  </cols>
  <sheetData>
    <row r="1" spans="1:12" s="13" customFormat="1" ht="12.75" customHeight="1" x14ac:dyDescent="0.25">
      <c r="A1" s="1" t="str">
        <f>CONCATENATE(Info!D7," Foundations")</f>
        <v>UNC System Office Foundations</v>
      </c>
      <c r="D1" s="34"/>
      <c r="J1" s="34" t="s">
        <v>113</v>
      </c>
      <c r="L1" s="301"/>
    </row>
    <row r="2" spans="1:12" s="13" customFormat="1" ht="12.75" customHeight="1" x14ac:dyDescent="0.25">
      <c r="A2" s="1" t="s">
        <v>466</v>
      </c>
      <c r="L2" s="301"/>
    </row>
    <row r="3" spans="1:12" s="13" customFormat="1" ht="12.75" customHeight="1" x14ac:dyDescent="0.25">
      <c r="A3" s="129" t="s">
        <v>307</v>
      </c>
      <c r="F3" s="28" t="str">
        <f>CONCATENATE(Info!D6,"F")</f>
        <v>U10F</v>
      </c>
      <c r="G3"/>
      <c r="H3"/>
      <c r="I3"/>
      <c r="J3"/>
      <c r="L3" s="301"/>
    </row>
    <row r="4" spans="1:12" x14ac:dyDescent="0.25">
      <c r="A4" s="198" t="s">
        <v>447</v>
      </c>
    </row>
    <row r="5" spans="1:12" ht="12.75" customHeight="1" x14ac:dyDescent="0.25">
      <c r="D5" s="131" t="s">
        <v>297</v>
      </c>
      <c r="F5" s="4" t="s">
        <v>306</v>
      </c>
      <c r="H5" s="4" t="s">
        <v>305</v>
      </c>
      <c r="J5" s="4" t="s">
        <v>304</v>
      </c>
    </row>
    <row r="6" spans="1:12" x14ac:dyDescent="0.25">
      <c r="B6" s="1" t="s">
        <v>18</v>
      </c>
    </row>
    <row r="7" spans="1:12" x14ac:dyDescent="0.25">
      <c r="A7" s="36">
        <v>505</v>
      </c>
      <c r="B7" s="13" t="s">
        <v>124</v>
      </c>
      <c r="D7" s="30">
        <f ca="1">SUMIF(FASB_IS,A7,'Exh B'!$N$9:$N$23)+SUMIF(FASB_ADJ,A7,Adjustments!$N$7:$N$72)</f>
        <v>0</v>
      </c>
      <c r="F7" s="30">
        <f>HLOOKUP($F$3,PriorYrExhE!$E$2:$V$22,6,FALSE)</f>
        <v>0</v>
      </c>
      <c r="H7" s="132">
        <f ca="1">D7-F7</f>
        <v>0</v>
      </c>
      <c r="J7" s="130">
        <f>IF(F7=0,0,H7/F7)</f>
        <v>0</v>
      </c>
      <c r="L7" s="301" t="s">
        <v>420</v>
      </c>
    </row>
    <row r="8" spans="1:12" x14ac:dyDescent="0.25">
      <c r="A8" s="36">
        <v>500</v>
      </c>
      <c r="B8" s="27" t="s">
        <v>42</v>
      </c>
      <c r="D8" s="12">
        <f ca="1">SUMIF(FASB_IS,A8,'Exh B'!$N$9:$N$23)+SUMIF(FASB_ADJ,A8,Adjustments!$N$7:$N$72)</f>
        <v>0</v>
      </c>
      <c r="F8" s="12">
        <f>HLOOKUP($F$3,PriorYrExhE!$E$2:$V$22,7,FALSE)</f>
        <v>0</v>
      </c>
      <c r="H8" s="132">
        <f t="shared" ref="H8:H15" ca="1" si="0">D8-F8</f>
        <v>0</v>
      </c>
      <c r="J8" s="130">
        <f t="shared" ref="J8:J15" si="1">IF(F8=0,0,H8/F8)</f>
        <v>0</v>
      </c>
      <c r="L8" s="301">
        <v>46200000</v>
      </c>
    </row>
    <row r="9" spans="1:12" x14ac:dyDescent="0.25">
      <c r="A9" s="36">
        <v>510</v>
      </c>
      <c r="B9" s="27" t="s">
        <v>43</v>
      </c>
      <c r="D9" s="12">
        <f ca="1">SUMIF(FASB_IS,A9,'Exh B'!$N$9:$N$23)+SUMIF(FASB_ADJ,A9,Adjustments!$N$7:$N$72)</f>
        <v>0</v>
      </c>
      <c r="F9" s="12">
        <f>HLOOKUP($F$3,PriorYrExhE!$E$2:$V$22,8,FALSE)</f>
        <v>0</v>
      </c>
      <c r="H9" s="132">
        <f t="shared" ca="1" si="0"/>
        <v>0</v>
      </c>
      <c r="J9" s="130">
        <f t="shared" si="1"/>
        <v>0</v>
      </c>
      <c r="L9" s="301">
        <v>46203000</v>
      </c>
    </row>
    <row r="10" spans="1:12" x14ac:dyDescent="0.25">
      <c r="A10" s="36">
        <v>520</v>
      </c>
      <c r="B10" s="27" t="s">
        <v>45</v>
      </c>
      <c r="D10" s="12">
        <f ca="1">SUMIF(FASB_IS,A10,'Exh B'!$N$9:$N$23)+SUMIF(FASB_ADJ,A10,Adjustments!$N$7:$N$72)</f>
        <v>0</v>
      </c>
      <c r="F10" s="12">
        <f>HLOOKUP($F$3,PriorYrExhE!$E$2:$V$22,9,FALSE)</f>
        <v>0</v>
      </c>
      <c r="H10" s="132">
        <f t="shared" ca="1" si="0"/>
        <v>0</v>
      </c>
      <c r="J10" s="130">
        <f t="shared" si="1"/>
        <v>0</v>
      </c>
      <c r="L10" s="301">
        <v>46205000</v>
      </c>
    </row>
    <row r="11" spans="1:12" x14ac:dyDescent="0.25">
      <c r="A11" s="36">
        <v>530</v>
      </c>
      <c r="B11" s="27" t="s">
        <v>19</v>
      </c>
      <c r="D11" s="12">
        <f ca="1">SUMIF(FASB_IS,A11,'Exh B'!$N$9:$N$23)+SUMIF(FASB_ADJ,A11,Adjustments!$N$7:$N$72)</f>
        <v>0</v>
      </c>
      <c r="F11" s="12">
        <f>HLOOKUP($F$3,PriorYrExhE!$E$2:$V$22,10,FALSE)</f>
        <v>0</v>
      </c>
      <c r="H11" s="132">
        <f t="shared" ca="1" si="0"/>
        <v>0</v>
      </c>
      <c r="J11" s="130">
        <f t="shared" si="1"/>
        <v>0</v>
      </c>
      <c r="L11" s="301">
        <v>43111000</v>
      </c>
    </row>
    <row r="12" spans="1:12" x14ac:dyDescent="0.25">
      <c r="A12" s="36">
        <v>540</v>
      </c>
      <c r="B12" s="27" t="s">
        <v>49</v>
      </c>
      <c r="D12" s="12">
        <f ca="1">SUMIF(FASB_IS,A12,'Exh B'!$N$9:$N$23)+SUMIF(FASB_ADJ,A12,Adjustments!$N$7:$N$72)</f>
        <v>0</v>
      </c>
      <c r="F12" s="12">
        <f>HLOOKUP($F$3,PriorYrExhE!$E$2:$V$22,11,FALSE)</f>
        <v>0</v>
      </c>
      <c r="H12" s="132">
        <f t="shared" ca="1" si="0"/>
        <v>0</v>
      </c>
      <c r="J12" s="130">
        <f t="shared" si="1"/>
        <v>0</v>
      </c>
      <c r="L12" s="301">
        <v>44101000</v>
      </c>
    </row>
    <row r="13" spans="1:12" x14ac:dyDescent="0.25">
      <c r="A13" s="36">
        <v>550</v>
      </c>
      <c r="B13" s="27" t="s">
        <v>50</v>
      </c>
      <c r="D13" s="12">
        <f ca="1">SUMIF(FASB_IS,A13,'Exh B'!$N$9:$N$23)+SUMIF(FASB_ADJ,A13,Adjustments!$N$7:$N$72)</f>
        <v>0</v>
      </c>
      <c r="F13" s="12">
        <f>HLOOKUP($F$3,PriorYrExhE!$E$2:$V$22,12,FALSE)</f>
        <v>0</v>
      </c>
      <c r="H13" s="132">
        <f t="shared" ca="1" si="0"/>
        <v>0</v>
      </c>
      <c r="J13" s="130">
        <f t="shared" si="1"/>
        <v>0</v>
      </c>
      <c r="L13" s="301">
        <v>44410000</v>
      </c>
    </row>
    <row r="14" spans="1:12" x14ac:dyDescent="0.25">
      <c r="A14" s="36">
        <v>555</v>
      </c>
      <c r="B14" s="27" t="s">
        <v>105</v>
      </c>
      <c r="D14" s="12">
        <f ca="1">SUMIF(FASB_IS,A14,'Exh B'!$N$9:$N$23)+SUMIF(FASB_ADJ,A14,Adjustments!$N$7:$N$72)</f>
        <v>0</v>
      </c>
      <c r="F14" s="12">
        <f>HLOOKUP($F$3,PriorYrExhE!$E$2:$V$22,13,FALSE)</f>
        <v>0</v>
      </c>
      <c r="H14" s="132">
        <f t="shared" ca="1" si="0"/>
        <v>0</v>
      </c>
      <c r="J14" s="130">
        <f t="shared" si="1"/>
        <v>0</v>
      </c>
      <c r="L14" s="301">
        <v>44330000</v>
      </c>
    </row>
    <row r="15" spans="1:12" x14ac:dyDescent="0.25">
      <c r="A15" s="36">
        <v>560</v>
      </c>
      <c r="B15" s="27" t="s">
        <v>51</v>
      </c>
      <c r="D15" s="12">
        <f ca="1">SUMIF(FASB_IS,A15,'Exh B'!$N$9:$N$23)+SUMIF(FASB_ADJ,A15,Adjustments!$N$7:$N$72)</f>
        <v>0</v>
      </c>
      <c r="F15" s="12">
        <f>HLOOKUP($F$3,PriorYrExhE!$E$2:$V$22,14,FALSE)</f>
        <v>0</v>
      </c>
      <c r="H15" s="132">
        <f t="shared" ca="1" si="0"/>
        <v>0</v>
      </c>
      <c r="J15" s="130">
        <f t="shared" si="1"/>
        <v>0</v>
      </c>
      <c r="L15" s="301">
        <v>47991000</v>
      </c>
    </row>
    <row r="16" spans="1:12" x14ac:dyDescent="0.25">
      <c r="A16" s="36"/>
      <c r="B16" s="2" t="s">
        <v>20</v>
      </c>
      <c r="D16" s="22">
        <f ca="1">SUM(D7:D15)</f>
        <v>0</v>
      </c>
      <c r="F16" s="22">
        <f>SUM(F7:F15)</f>
        <v>0</v>
      </c>
    </row>
    <row r="17" spans="1:12" x14ac:dyDescent="0.25">
      <c r="A17" s="36"/>
    </row>
    <row r="18" spans="1:12" x14ac:dyDescent="0.25">
      <c r="A18" s="36"/>
      <c r="B18" s="1" t="s">
        <v>21</v>
      </c>
    </row>
    <row r="19" spans="1:12" ht="15.6" x14ac:dyDescent="0.25">
      <c r="A19" s="36">
        <v>604</v>
      </c>
      <c r="B19" s="13" t="s">
        <v>227</v>
      </c>
      <c r="D19" s="12">
        <f ca="1">SUMIF(FASB_IS,A19,'Exh B'!$N$9:$N$23)+SUMIF(FASB_ADJ,A19,Adjustments!$N$7:$N$72)</f>
        <v>0</v>
      </c>
      <c r="F19" s="12">
        <f>HLOOKUP($F$3,PriorYrExhE!$E$2:$V$22,18,FALSE)</f>
        <v>0</v>
      </c>
      <c r="H19" s="132">
        <f ca="1">D19-F19</f>
        <v>0</v>
      </c>
      <c r="J19" s="130">
        <f>IF(F19=0,0,H19/F19)</f>
        <v>0</v>
      </c>
      <c r="L19" s="301" t="s">
        <v>421</v>
      </c>
    </row>
    <row r="20" spans="1:12" ht="15.6" x14ac:dyDescent="0.25">
      <c r="A20" s="36">
        <v>600</v>
      </c>
      <c r="B20" s="13" t="s">
        <v>151</v>
      </c>
      <c r="D20" s="12">
        <f ca="1">SUMIF(FASB_IS,A20,'Exh B'!$N$9:$N$23)+SUMIF(FASB_ADJ,A20,Adjustments!$N$7:$N$72)</f>
        <v>0</v>
      </c>
      <c r="F20" s="12">
        <f>HLOOKUP($F$3,PriorYrExhE!$E$2:$V$22,19,FALSE)</f>
        <v>0</v>
      </c>
      <c r="H20" s="132">
        <f ca="1">D20-F20</f>
        <v>0</v>
      </c>
      <c r="J20" s="130">
        <f>IF(F20=0,0,H20/F20)</f>
        <v>0</v>
      </c>
      <c r="L20" s="301" t="s">
        <v>422</v>
      </c>
    </row>
    <row r="21" spans="1:12" ht="15.6" x14ac:dyDescent="0.25">
      <c r="A21" s="36">
        <v>602</v>
      </c>
      <c r="B21" s="13" t="s">
        <v>152</v>
      </c>
      <c r="D21" s="12">
        <f ca="1">SUMIF(FASB_IS,A21,'Exh B'!$N$9:$N$23)+SUMIF(FASB_ADJ,A21,Adjustments!$N$7:$N$72)</f>
        <v>0</v>
      </c>
      <c r="F21" s="12">
        <f>HLOOKUP($F$3,PriorYrExhE!$E$2:$V$22,20,FALSE)</f>
        <v>0</v>
      </c>
      <c r="H21" s="132">
        <f ca="1">D21-F21</f>
        <v>0</v>
      </c>
      <c r="J21" s="130">
        <f>IF(F21=0,0,H21/F21)</f>
        <v>0</v>
      </c>
      <c r="L21" s="301" t="s">
        <v>423</v>
      </c>
    </row>
    <row r="22" spans="1:12" x14ac:dyDescent="0.25">
      <c r="A22" s="36">
        <v>610</v>
      </c>
      <c r="B22" s="13" t="s">
        <v>47</v>
      </c>
      <c r="D22" s="10">
        <f ca="1">SUMIF(FASB_IS,A22,'Exh B'!$N$9:$N$23)+SUMIF(FASB_ADJ,A22,Adjustments!$N$7:$N$72)</f>
        <v>0</v>
      </c>
      <c r="F22" s="12">
        <f>HLOOKUP($F$3,PriorYrExhE!$E$2:$V$22,21,FALSE)</f>
        <v>0</v>
      </c>
      <c r="H22" s="132">
        <f ca="1">D22-F22</f>
        <v>0</v>
      </c>
      <c r="J22" s="130">
        <f>IF(F22=0,0,H22/F22)</f>
        <v>0</v>
      </c>
      <c r="L22" s="301">
        <v>55900000</v>
      </c>
    </row>
    <row r="23" spans="1:12" x14ac:dyDescent="0.25">
      <c r="A23" s="36"/>
      <c r="B23" s="2" t="s">
        <v>22</v>
      </c>
      <c r="D23" s="22">
        <f ca="1">SUM(D19:D22)</f>
        <v>0</v>
      </c>
      <c r="F23" s="22">
        <f>SUM(F19:F22)</f>
        <v>0</v>
      </c>
    </row>
    <row r="25" spans="1:12" x14ac:dyDescent="0.25">
      <c r="B25" s="63" t="s">
        <v>324</v>
      </c>
      <c r="D25" s="12">
        <f ca="1">D16-D23</f>
        <v>0</v>
      </c>
      <c r="F25" s="12">
        <f>F16-F23</f>
        <v>0</v>
      </c>
      <c r="H25" s="132">
        <f ca="1">D25-F25</f>
        <v>0</v>
      </c>
      <c r="J25" s="130">
        <f>IF(F25=0,0,H25/F25)</f>
        <v>0</v>
      </c>
    </row>
    <row r="26" spans="1:12" x14ac:dyDescent="0.25">
      <c r="B26" s="27"/>
      <c r="D26" s="12"/>
    </row>
    <row r="27" spans="1:12" x14ac:dyDescent="0.25">
      <c r="B27" s="13" t="s">
        <v>322</v>
      </c>
      <c r="D27" s="12">
        <f>'Exh B'!N28</f>
        <v>0</v>
      </c>
      <c r="F27" s="12">
        <f>HLOOKUP($F$3,PriorYrExhE!$E$2:$V$28,26,FALSE)</f>
        <v>0</v>
      </c>
      <c r="H27" s="132">
        <f>D27-F27</f>
        <v>0</v>
      </c>
      <c r="J27" s="130">
        <f>IF(F27=0,0,H27/F27)</f>
        <v>0</v>
      </c>
    </row>
    <row r="28" spans="1:12" x14ac:dyDescent="0.25">
      <c r="B28" t="s">
        <v>190</v>
      </c>
      <c r="D28" s="10">
        <f>'Exh B'!N29</f>
        <v>0</v>
      </c>
      <c r="F28" s="12">
        <f>HLOOKUP($F$3,PriorYrExhE!$E$2:$V$28,27,FALSE)</f>
        <v>0</v>
      </c>
      <c r="H28" s="132">
        <f>D28-F28</f>
        <v>0</v>
      </c>
      <c r="J28" s="130">
        <f>IF(F28=0,0,H28/F28)</f>
        <v>0</v>
      </c>
      <c r="L28" s="301">
        <v>33000100</v>
      </c>
    </row>
    <row r="29" spans="1:12" ht="13.8" thickBot="1" x14ac:dyDescent="0.3">
      <c r="B29" s="13" t="s">
        <v>323</v>
      </c>
      <c r="D29" s="11">
        <f ca="1">D25+D27+D28</f>
        <v>0</v>
      </c>
      <c r="F29" s="11">
        <f>F25+F27+F28</f>
        <v>0</v>
      </c>
    </row>
    <row r="30" spans="1:12" ht="13.8" thickTop="1" x14ac:dyDescent="0.25"/>
    <row r="31" spans="1:12" x14ac:dyDescent="0.25">
      <c r="B31" s="24" t="s">
        <v>114</v>
      </c>
      <c r="D31" s="38" t="str">
        <f ca="1">IF(D29='Exh D'!D41,"OK","ERROR")</f>
        <v>OK</v>
      </c>
      <c r="F31" s="38" t="str">
        <f>IF(F29='Exh D'!F41,"OK","ERROR")</f>
        <v>OK</v>
      </c>
    </row>
    <row r="32" spans="1:12" ht="11.25" customHeight="1" x14ac:dyDescent="0.25">
      <c r="B32" s="24"/>
    </row>
    <row r="33" spans="1:6" x14ac:dyDescent="0.25">
      <c r="A33" s="26" t="s">
        <v>26</v>
      </c>
    </row>
    <row r="34" spans="1:6" ht="5.25" customHeight="1" x14ac:dyDescent="0.25"/>
    <row r="35" spans="1:6" x14ac:dyDescent="0.25">
      <c r="A35" s="51" t="s">
        <v>78</v>
      </c>
      <c r="B35" t="s">
        <v>467</v>
      </c>
    </row>
    <row r="36" spans="1:6" x14ac:dyDescent="0.25">
      <c r="B36" t="s">
        <v>112</v>
      </c>
    </row>
    <row r="37" spans="1:6" ht="6" customHeight="1" x14ac:dyDescent="0.25"/>
    <row r="38" spans="1:6" x14ac:dyDescent="0.25">
      <c r="A38" s="33" t="s">
        <v>82</v>
      </c>
      <c r="B38" s="13" t="s">
        <v>294</v>
      </c>
    </row>
    <row r="39" spans="1:6" x14ac:dyDescent="0.25">
      <c r="B39" s="13" t="s">
        <v>296</v>
      </c>
    </row>
    <row r="40" spans="1:6" x14ac:dyDescent="0.25">
      <c r="B40" s="13" t="s">
        <v>295</v>
      </c>
    </row>
    <row r="41" spans="1:6" x14ac:dyDescent="0.25">
      <c r="B41" s="199" t="s">
        <v>404</v>
      </c>
    </row>
    <row r="42" spans="1:6" ht="6.75" customHeight="1" x14ac:dyDescent="0.25"/>
    <row r="43" spans="1:6" x14ac:dyDescent="0.25">
      <c r="B43" s="178" t="s">
        <v>342</v>
      </c>
    </row>
    <row r="44" spans="1:6" x14ac:dyDescent="0.25">
      <c r="B44" s="178" t="s">
        <v>343</v>
      </c>
    </row>
    <row r="45" spans="1:6" x14ac:dyDescent="0.25">
      <c r="B45" s="24"/>
      <c r="C45" s="24"/>
      <c r="D45" s="24"/>
      <c r="E45" s="24"/>
      <c r="F45" s="24"/>
    </row>
    <row r="46" spans="1:6" x14ac:dyDescent="0.25">
      <c r="B46" s="24"/>
      <c r="C46" s="24"/>
      <c r="D46" s="24"/>
      <c r="E46" s="24"/>
      <c r="F46" s="24"/>
    </row>
    <row r="47" spans="1:6" x14ac:dyDescent="0.25">
      <c r="B47" s="24"/>
      <c r="C47" s="24"/>
      <c r="D47" s="24"/>
      <c r="E47" s="24"/>
      <c r="F47" s="24"/>
    </row>
    <row r="48" spans="1:6" x14ac:dyDescent="0.25">
      <c r="B48" s="24"/>
    </row>
  </sheetData>
  <sheetProtection algorithmName="SHA-512" hashValue="lQVD0E5qAPt2+9nZ3PguAb3UCF0aFi6sILRIXADdYAZtrRxagI1ZT0GV8MXTgk+nY9SDkl9S0qsHMy0YuOAK9Q==" saltValue="vaej2vBNGqDtFTXjlTje5g==" spinCount="100000" sheet="1" autoFilter="0"/>
  <phoneticPr fontId="0" type="noConversion"/>
  <conditionalFormatting sqref="D31">
    <cfRule type="cellIs" dxfId="1" priority="2" stopIfTrue="1" operator="equal">
      <formula>"ERROR"</formula>
    </cfRule>
  </conditionalFormatting>
  <conditionalFormatting sqref="F31">
    <cfRule type="cellIs" dxfId="0" priority="1" stopIfTrue="1" operator="equal">
      <formula>"ERROR"</formula>
    </cfRule>
  </conditionalFormatting>
  <pageMargins left="0.5" right="0.5" top="0.25" bottom="0.25" header="0.5" footer="0.2"/>
  <pageSetup orientation="landscape" r:id="rId1"/>
  <headerFooter alignWithMargins="0">
    <oddFooter>&amp;L&amp;F &amp;A&amp;C&amp;P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100"/>
  <sheetViews>
    <sheetView zoomScaleNormal="100" workbookViewId="0">
      <selection activeCell="A4" sqref="A4"/>
    </sheetView>
  </sheetViews>
  <sheetFormatPr defaultRowHeight="13.2" x14ac:dyDescent="0.25"/>
  <cols>
    <col min="1" max="1" width="76.33203125" customWidth="1"/>
  </cols>
  <sheetData>
    <row r="1" spans="1:6" s="13" customFormat="1" ht="12.75" customHeight="1" x14ac:dyDescent="0.25">
      <c r="A1" s="1" t="str">
        <f>CONCATENATE(Info!D7," Foundations")</f>
        <v>UNC System Office Foundations</v>
      </c>
      <c r="F1" s="34"/>
    </row>
    <row r="2" spans="1:6" s="13" customFormat="1" ht="12.75" customHeight="1" x14ac:dyDescent="0.25">
      <c r="A2" s="1" t="s">
        <v>150</v>
      </c>
    </row>
    <row r="3" spans="1:6" s="13" customFormat="1" ht="12.75" customHeight="1" x14ac:dyDescent="0.25">
      <c r="A3" s="198" t="s">
        <v>447</v>
      </c>
    </row>
    <row r="4" spans="1:6" ht="13.5" customHeight="1" x14ac:dyDescent="0.25">
      <c r="A4" s="95"/>
    </row>
    <row r="5" spans="1:6" x14ac:dyDescent="0.25">
      <c r="A5" s="101"/>
    </row>
    <row r="6" spans="1:6" x14ac:dyDescent="0.25">
      <c r="A6" s="95"/>
    </row>
    <row r="7" spans="1:6" x14ac:dyDescent="0.25">
      <c r="A7" s="95"/>
    </row>
    <row r="8" spans="1:6" x14ac:dyDescent="0.25">
      <c r="A8" s="95"/>
    </row>
    <row r="9" spans="1:6" x14ac:dyDescent="0.25">
      <c r="A9" s="95"/>
    </row>
    <row r="10" spans="1:6" x14ac:dyDescent="0.25">
      <c r="A10" s="95"/>
    </row>
    <row r="11" spans="1:6" x14ac:dyDescent="0.25">
      <c r="A11" s="95"/>
    </row>
    <row r="12" spans="1:6" x14ac:dyDescent="0.25">
      <c r="A12" s="95"/>
    </row>
    <row r="13" spans="1:6" x14ac:dyDescent="0.25">
      <c r="A13" s="95"/>
    </row>
    <row r="14" spans="1:6" x14ac:dyDescent="0.25">
      <c r="A14" s="95"/>
    </row>
    <row r="15" spans="1:6" x14ac:dyDescent="0.25">
      <c r="A15" s="95"/>
    </row>
    <row r="16" spans="1:6" x14ac:dyDescent="0.25">
      <c r="A16" s="95"/>
    </row>
    <row r="17" spans="1:1" x14ac:dyDescent="0.25">
      <c r="A17" s="95"/>
    </row>
    <row r="18" spans="1:1" x14ac:dyDescent="0.25">
      <c r="A18" s="95"/>
    </row>
    <row r="19" spans="1:1" x14ac:dyDescent="0.25">
      <c r="A19" s="95"/>
    </row>
    <row r="20" spans="1:1" x14ac:dyDescent="0.25">
      <c r="A20" s="95"/>
    </row>
    <row r="21" spans="1:1" x14ac:dyDescent="0.25">
      <c r="A21" s="95"/>
    </row>
    <row r="22" spans="1:1" x14ac:dyDescent="0.25">
      <c r="A22" s="95"/>
    </row>
    <row r="23" spans="1:1" x14ac:dyDescent="0.25">
      <c r="A23" s="95"/>
    </row>
    <row r="24" spans="1:1" x14ac:dyDescent="0.25">
      <c r="A24" s="95"/>
    </row>
    <row r="25" spans="1:1" x14ac:dyDescent="0.25">
      <c r="A25" s="95"/>
    </row>
    <row r="26" spans="1:1" x14ac:dyDescent="0.25">
      <c r="A26" s="95"/>
    </row>
    <row r="27" spans="1:1" x14ac:dyDescent="0.25">
      <c r="A27" s="95"/>
    </row>
    <row r="28" spans="1:1" x14ac:dyDescent="0.25">
      <c r="A28" s="95"/>
    </row>
    <row r="29" spans="1:1" x14ac:dyDescent="0.25">
      <c r="A29" s="95"/>
    </row>
    <row r="30" spans="1:1" x14ac:dyDescent="0.25">
      <c r="A30" s="95"/>
    </row>
    <row r="31" spans="1:1" x14ac:dyDescent="0.25">
      <c r="A31" s="95"/>
    </row>
    <row r="32" spans="1:1" x14ac:dyDescent="0.25">
      <c r="A32" s="95"/>
    </row>
    <row r="33" spans="1:1" x14ac:dyDescent="0.25">
      <c r="A33" s="95"/>
    </row>
    <row r="34" spans="1:1" x14ac:dyDescent="0.25">
      <c r="A34" s="95"/>
    </row>
    <row r="35" spans="1:1" x14ac:dyDescent="0.25">
      <c r="A35" s="95"/>
    </row>
    <row r="36" spans="1:1" x14ac:dyDescent="0.25">
      <c r="A36" s="95"/>
    </row>
    <row r="37" spans="1:1" x14ac:dyDescent="0.25">
      <c r="A37" s="95"/>
    </row>
    <row r="38" spans="1:1" x14ac:dyDescent="0.25">
      <c r="A38" s="95"/>
    </row>
    <row r="39" spans="1:1" x14ac:dyDescent="0.25">
      <c r="A39" s="95"/>
    </row>
    <row r="40" spans="1:1" x14ac:dyDescent="0.25">
      <c r="A40" s="95"/>
    </row>
    <row r="41" spans="1:1" x14ac:dyDescent="0.25">
      <c r="A41" s="95"/>
    </row>
    <row r="42" spans="1:1" x14ac:dyDescent="0.25">
      <c r="A42" s="95"/>
    </row>
    <row r="43" spans="1:1" x14ac:dyDescent="0.25">
      <c r="A43" s="95"/>
    </row>
    <row r="44" spans="1:1" x14ac:dyDescent="0.25">
      <c r="A44" s="95"/>
    </row>
    <row r="45" spans="1:1" x14ac:dyDescent="0.25">
      <c r="A45" s="95"/>
    </row>
    <row r="46" spans="1:1" x14ac:dyDescent="0.25">
      <c r="A46" s="95"/>
    </row>
    <row r="47" spans="1:1" x14ac:dyDescent="0.25">
      <c r="A47" s="95"/>
    </row>
    <row r="48" spans="1:1" x14ac:dyDescent="0.25">
      <c r="A48" s="95"/>
    </row>
    <row r="49" spans="1:1" x14ac:dyDescent="0.25">
      <c r="A49" s="95"/>
    </row>
    <row r="50" spans="1:1" x14ac:dyDescent="0.25">
      <c r="A50" s="95"/>
    </row>
    <row r="51" spans="1:1" x14ac:dyDescent="0.25">
      <c r="A51" s="95"/>
    </row>
    <row r="52" spans="1:1" x14ac:dyDescent="0.25">
      <c r="A52" s="95"/>
    </row>
    <row r="53" spans="1:1" x14ac:dyDescent="0.25">
      <c r="A53" s="95"/>
    </row>
    <row r="54" spans="1:1" x14ac:dyDescent="0.25">
      <c r="A54" s="95"/>
    </row>
    <row r="55" spans="1:1" x14ac:dyDescent="0.25">
      <c r="A55" s="95"/>
    </row>
    <row r="56" spans="1:1" x14ac:dyDescent="0.25">
      <c r="A56" s="95"/>
    </row>
    <row r="57" spans="1:1" x14ac:dyDescent="0.25">
      <c r="A57" s="95"/>
    </row>
    <row r="58" spans="1:1" x14ac:dyDescent="0.25">
      <c r="A58" s="95"/>
    </row>
    <row r="59" spans="1:1" x14ac:dyDescent="0.25">
      <c r="A59" s="95"/>
    </row>
    <row r="60" spans="1:1" x14ac:dyDescent="0.25">
      <c r="A60" s="95"/>
    </row>
    <row r="61" spans="1:1" x14ac:dyDescent="0.25">
      <c r="A61" s="95"/>
    </row>
    <row r="62" spans="1:1" x14ac:dyDescent="0.25">
      <c r="A62" s="95"/>
    </row>
    <row r="63" spans="1:1" x14ac:dyDescent="0.25">
      <c r="A63" s="95"/>
    </row>
    <row r="64" spans="1:1" x14ac:dyDescent="0.25">
      <c r="A64" s="95"/>
    </row>
    <row r="65" spans="1:1" x14ac:dyDescent="0.25">
      <c r="A65" s="95"/>
    </row>
    <row r="66" spans="1:1" x14ac:dyDescent="0.25">
      <c r="A66" s="95"/>
    </row>
    <row r="67" spans="1:1" x14ac:dyDescent="0.25">
      <c r="A67" s="95"/>
    </row>
    <row r="68" spans="1:1" x14ac:dyDescent="0.25">
      <c r="A68" s="95"/>
    </row>
    <row r="69" spans="1:1" x14ac:dyDescent="0.25">
      <c r="A69" s="95"/>
    </row>
    <row r="70" spans="1:1" x14ac:dyDescent="0.25">
      <c r="A70" s="95"/>
    </row>
    <row r="71" spans="1:1" x14ac:dyDescent="0.25">
      <c r="A71" s="95"/>
    </row>
    <row r="72" spans="1:1" x14ac:dyDescent="0.25">
      <c r="A72" s="95"/>
    </row>
    <row r="73" spans="1:1" x14ac:dyDescent="0.25">
      <c r="A73" s="95"/>
    </row>
    <row r="74" spans="1:1" x14ac:dyDescent="0.25">
      <c r="A74" s="95"/>
    </row>
    <row r="75" spans="1:1" x14ac:dyDescent="0.25">
      <c r="A75" s="95"/>
    </row>
    <row r="76" spans="1:1" x14ac:dyDescent="0.25">
      <c r="A76" s="95"/>
    </row>
    <row r="77" spans="1:1" x14ac:dyDescent="0.25">
      <c r="A77" s="95"/>
    </row>
    <row r="78" spans="1:1" x14ac:dyDescent="0.25">
      <c r="A78" s="95"/>
    </row>
    <row r="79" spans="1:1" x14ac:dyDescent="0.25">
      <c r="A79" s="95"/>
    </row>
    <row r="80" spans="1:1" x14ac:dyDescent="0.25">
      <c r="A80" s="95"/>
    </row>
    <row r="81" spans="1:1" x14ac:dyDescent="0.25">
      <c r="A81" s="95"/>
    </row>
    <row r="82" spans="1:1" x14ac:dyDescent="0.25">
      <c r="A82" s="95"/>
    </row>
    <row r="83" spans="1:1" x14ac:dyDescent="0.25">
      <c r="A83" s="95"/>
    </row>
    <row r="84" spans="1:1" x14ac:dyDescent="0.25">
      <c r="A84" s="95"/>
    </row>
    <row r="85" spans="1:1" x14ac:dyDescent="0.25">
      <c r="A85" s="95"/>
    </row>
    <row r="86" spans="1:1" x14ac:dyDescent="0.25">
      <c r="A86" s="95"/>
    </row>
    <row r="87" spans="1:1" x14ac:dyDescent="0.25">
      <c r="A87" s="95"/>
    </row>
    <row r="88" spans="1:1" x14ac:dyDescent="0.25">
      <c r="A88" s="95"/>
    </row>
    <row r="89" spans="1:1" x14ac:dyDescent="0.25">
      <c r="A89" s="95"/>
    </row>
    <row r="90" spans="1:1" x14ac:dyDescent="0.25">
      <c r="A90" s="95"/>
    </row>
    <row r="91" spans="1:1" x14ac:dyDescent="0.25">
      <c r="A91" s="95"/>
    </row>
    <row r="92" spans="1:1" x14ac:dyDescent="0.25">
      <c r="A92" s="95"/>
    </row>
    <row r="93" spans="1:1" x14ac:dyDescent="0.25">
      <c r="A93" s="95"/>
    </row>
    <row r="94" spans="1:1" x14ac:dyDescent="0.25">
      <c r="A94" s="95"/>
    </row>
    <row r="95" spans="1:1" x14ac:dyDescent="0.25">
      <c r="A95" s="95"/>
    </row>
    <row r="96" spans="1:1" x14ac:dyDescent="0.25">
      <c r="A96" s="95"/>
    </row>
    <row r="97" spans="1:1" x14ac:dyDescent="0.25">
      <c r="A97" s="95"/>
    </row>
    <row r="98" spans="1:1" x14ac:dyDescent="0.25">
      <c r="A98" s="95"/>
    </row>
    <row r="99" spans="1:1" x14ac:dyDescent="0.25">
      <c r="A99" s="95"/>
    </row>
    <row r="100" spans="1:1" x14ac:dyDescent="0.25">
      <c r="A100" s="95"/>
    </row>
  </sheetData>
  <sheetProtection algorithmName="SHA-512" hashValue="fAAPXjwYCVc9wQbmciBqK90pAkQmeWq8+pwvTy75RafKDOvymlbfSTMoDsRQrIRSTAVSZZL/WwD295dYUSnxRw==" saltValue="0S/d9u/eQSqCYnQd1MoiEA==" spinCount="100000" sheet="1" autoFilter="0"/>
  <phoneticPr fontId="19" type="noConversion"/>
  <pageMargins left="0.75" right="0.75" top="1" bottom="1" header="0.5" footer="0.5"/>
  <pageSetup orientation="portrait" r:id="rId1"/>
  <headerFooter alignWithMargins="0">
    <oddFooter>&amp;L&amp;F  &amp;A&amp;C&amp;P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S30"/>
  <sheetViews>
    <sheetView zoomScaleNormal="100" workbookViewId="0"/>
  </sheetViews>
  <sheetFormatPr defaultColWidth="8" defaultRowHeight="10.199999999999999" x14ac:dyDescent="0.2"/>
  <cols>
    <col min="1" max="1" width="7.5546875" style="64" customWidth="1"/>
    <col min="2" max="2" width="33.88671875" style="64" customWidth="1"/>
    <col min="3" max="3" width="18" style="66" customWidth="1"/>
    <col min="4" max="4" width="18.33203125" style="64" customWidth="1"/>
    <col min="5" max="5" width="9.109375" style="64" customWidth="1"/>
    <col min="6" max="16384" width="8" style="64"/>
  </cols>
  <sheetData>
    <row r="1" spans="1:19" ht="13.2" x14ac:dyDescent="0.25">
      <c r="B1" s="73"/>
      <c r="C1" s="304" t="s">
        <v>449</v>
      </c>
    </row>
    <row r="2" spans="1:19" ht="13.8" x14ac:dyDescent="0.3">
      <c r="A2" s="69" t="s">
        <v>156</v>
      </c>
      <c r="B2" s="65"/>
      <c r="C2" s="71" t="s">
        <v>348</v>
      </c>
    </row>
    <row r="3" spans="1:19" ht="13.2" x14ac:dyDescent="0.25">
      <c r="A3" s="70" t="s">
        <v>155</v>
      </c>
      <c r="B3" s="70" t="s">
        <v>157</v>
      </c>
      <c r="C3" s="72" t="s">
        <v>450</v>
      </c>
      <c r="D3" s="74" t="s">
        <v>335</v>
      </c>
      <c r="R3" s="103" t="s">
        <v>443</v>
      </c>
      <c r="S3" s="103" t="s">
        <v>442</v>
      </c>
    </row>
    <row r="4" spans="1:19" ht="6.75" customHeight="1" x14ac:dyDescent="0.2">
      <c r="A4" s="103"/>
    </row>
    <row r="5" spans="1:19" ht="15.6" x14ac:dyDescent="0.3">
      <c r="A5" s="67" t="s">
        <v>158</v>
      </c>
      <c r="B5" s="68" t="s">
        <v>395</v>
      </c>
      <c r="C5" s="189"/>
      <c r="R5" s="67" t="s">
        <v>158</v>
      </c>
      <c r="S5" s="67" t="s">
        <v>424</v>
      </c>
    </row>
    <row r="6" spans="1:19" ht="15.6" x14ac:dyDescent="0.3">
      <c r="A6" s="67" t="s">
        <v>159</v>
      </c>
      <c r="B6" s="68" t="s">
        <v>182</v>
      </c>
      <c r="C6" s="191">
        <f>PriorYrExhD!F41</f>
        <v>1414107049</v>
      </c>
      <c r="R6" s="67" t="s">
        <v>159</v>
      </c>
      <c r="S6" s="67" t="s">
        <v>425</v>
      </c>
    </row>
    <row r="7" spans="1:19" ht="15.6" x14ac:dyDescent="0.3">
      <c r="A7" s="67" t="s">
        <v>160</v>
      </c>
      <c r="B7" s="68" t="s">
        <v>174</v>
      </c>
      <c r="C7" s="191">
        <f>PriorYrExhD!G41</f>
        <v>890164977</v>
      </c>
      <c r="R7" s="67" t="s">
        <v>160</v>
      </c>
      <c r="S7" s="67" t="s">
        <v>426</v>
      </c>
    </row>
    <row r="8" spans="1:19" ht="15.6" x14ac:dyDescent="0.3">
      <c r="A8" s="67" t="s">
        <v>161</v>
      </c>
      <c r="B8" s="68" t="s">
        <v>183</v>
      </c>
      <c r="C8" s="192"/>
      <c r="R8" s="67" t="s">
        <v>161</v>
      </c>
      <c r="S8" s="67" t="s">
        <v>427</v>
      </c>
    </row>
    <row r="9" spans="1:19" ht="15.6" x14ac:dyDescent="0.3">
      <c r="A9" s="67" t="s">
        <v>162</v>
      </c>
      <c r="B9" s="68" t="s">
        <v>184</v>
      </c>
      <c r="C9" s="191">
        <f>PriorYrExhD!I41</f>
        <v>239927905</v>
      </c>
      <c r="R9" s="67" t="s">
        <v>162</v>
      </c>
      <c r="S9" s="67" t="s">
        <v>428</v>
      </c>
    </row>
    <row r="10" spans="1:19" ht="15.6" x14ac:dyDescent="0.3">
      <c r="A10" s="67" t="s">
        <v>163</v>
      </c>
      <c r="B10" s="68" t="s">
        <v>185</v>
      </c>
      <c r="C10" s="191">
        <f>PriorYrExhD!J41</f>
        <v>57531095</v>
      </c>
      <c r="R10" s="67" t="s">
        <v>163</v>
      </c>
      <c r="S10" s="67" t="s">
        <v>429</v>
      </c>
    </row>
    <row r="11" spans="1:19" ht="15.6" x14ac:dyDescent="0.3">
      <c r="A11" s="67" t="s">
        <v>164</v>
      </c>
      <c r="B11" s="68" t="s">
        <v>186</v>
      </c>
      <c r="C11" s="189"/>
      <c r="R11" s="67" t="s">
        <v>164</v>
      </c>
      <c r="S11" s="67" t="s">
        <v>430</v>
      </c>
    </row>
    <row r="12" spans="1:19" ht="15.6" x14ac:dyDescent="0.3">
      <c r="A12" s="67" t="s">
        <v>165</v>
      </c>
      <c r="B12" s="68" t="s">
        <v>175</v>
      </c>
      <c r="C12" s="191">
        <f>PriorYrExhD!L41</f>
        <v>203705599</v>
      </c>
      <c r="R12" s="67" t="s">
        <v>165</v>
      </c>
      <c r="S12" s="67" t="s">
        <v>431</v>
      </c>
    </row>
    <row r="13" spans="1:19" ht="15.6" x14ac:dyDescent="0.3">
      <c r="A13" s="67" t="s">
        <v>166</v>
      </c>
      <c r="B13" s="68" t="s">
        <v>187</v>
      </c>
      <c r="C13" s="191">
        <f>PriorYrExhD!M41</f>
        <v>33058966</v>
      </c>
      <c r="R13" s="67" t="s">
        <v>166</v>
      </c>
      <c r="S13" s="67" t="s">
        <v>432</v>
      </c>
    </row>
    <row r="14" spans="1:19" ht="15.6" x14ac:dyDescent="0.3">
      <c r="A14" s="67" t="s">
        <v>167</v>
      </c>
      <c r="B14" s="68" t="s">
        <v>176</v>
      </c>
      <c r="C14" s="189"/>
      <c r="R14" s="67" t="s">
        <v>167</v>
      </c>
      <c r="S14" s="67" t="s">
        <v>433</v>
      </c>
    </row>
    <row r="15" spans="1:19" ht="15.6" x14ac:dyDescent="0.3">
      <c r="A15" s="67" t="s">
        <v>168</v>
      </c>
      <c r="B15" s="68" t="s">
        <v>177</v>
      </c>
      <c r="C15" s="191">
        <f>PriorYrExhD!O41</f>
        <v>0</v>
      </c>
      <c r="R15" s="67" t="s">
        <v>168</v>
      </c>
      <c r="S15" s="67" t="s">
        <v>434</v>
      </c>
    </row>
    <row r="16" spans="1:19" ht="15.6" x14ac:dyDescent="0.3">
      <c r="A16" s="67" t="s">
        <v>169</v>
      </c>
      <c r="B16" s="68" t="s">
        <v>188</v>
      </c>
      <c r="C16" s="192"/>
      <c r="R16" s="67" t="s">
        <v>169</v>
      </c>
      <c r="S16" s="67" t="s">
        <v>435</v>
      </c>
    </row>
    <row r="17" spans="1:19" ht="15.6" x14ac:dyDescent="0.3">
      <c r="A17" s="67" t="s">
        <v>170</v>
      </c>
      <c r="B17" s="68" t="s">
        <v>178</v>
      </c>
      <c r="C17" s="191">
        <f>PriorYrExhD!Q41</f>
        <v>65931708</v>
      </c>
      <c r="R17" s="67" t="s">
        <v>170</v>
      </c>
      <c r="S17" s="67" t="s">
        <v>436</v>
      </c>
    </row>
    <row r="18" spans="1:19" ht="15.6" x14ac:dyDescent="0.3">
      <c r="A18" s="67" t="s">
        <v>171</v>
      </c>
      <c r="B18" s="68" t="s">
        <v>179</v>
      </c>
      <c r="C18" s="189"/>
      <c r="R18" s="67" t="s">
        <v>171</v>
      </c>
      <c r="S18" s="67" t="s">
        <v>437</v>
      </c>
    </row>
    <row r="19" spans="1:19" ht="15.6" x14ac:dyDescent="0.3">
      <c r="A19" s="67" t="s">
        <v>172</v>
      </c>
      <c r="B19" s="68" t="s">
        <v>180</v>
      </c>
      <c r="C19" s="189"/>
      <c r="R19" s="67" t="s">
        <v>172</v>
      </c>
      <c r="S19" s="67" t="s">
        <v>438</v>
      </c>
    </row>
    <row r="20" spans="1:19" ht="15.6" x14ac:dyDescent="0.3">
      <c r="A20" s="67" t="s">
        <v>154</v>
      </c>
      <c r="B20" s="68" t="s">
        <v>181</v>
      </c>
      <c r="C20" s="191">
        <f>PriorYrExhD!T41</f>
        <v>37756632</v>
      </c>
      <c r="R20" s="67" t="s">
        <v>154</v>
      </c>
      <c r="S20" s="67" t="s">
        <v>439</v>
      </c>
    </row>
    <row r="21" spans="1:19" ht="15.6" x14ac:dyDescent="0.3">
      <c r="A21" s="67" t="s">
        <v>173</v>
      </c>
      <c r="B21" s="68" t="s">
        <v>238</v>
      </c>
      <c r="C21" s="191">
        <f>PriorYrExhD!U41</f>
        <v>99936751</v>
      </c>
      <c r="R21" s="67" t="s">
        <v>173</v>
      </c>
      <c r="S21" s="67" t="s">
        <v>440</v>
      </c>
    </row>
    <row r="22" spans="1:19" ht="13.5" customHeight="1" x14ac:dyDescent="0.3">
      <c r="A22" s="67">
        <v>87</v>
      </c>
      <c r="B22" s="68" t="s">
        <v>239</v>
      </c>
      <c r="C22" s="191">
        <f>PriorYrExhD!V41</f>
        <v>38723146</v>
      </c>
      <c r="R22" s="67">
        <v>87</v>
      </c>
      <c r="S22" s="67" t="s">
        <v>441</v>
      </c>
    </row>
    <row r="23" spans="1:19" ht="13.8" thickBot="1" x14ac:dyDescent="0.3">
      <c r="C23" s="98">
        <f>SUM(C5:C22)</f>
        <v>3080843828</v>
      </c>
      <c r="D23" s="102"/>
      <c r="E23" s="102"/>
    </row>
    <row r="24" spans="1:19" ht="10.8" thickTop="1" x14ac:dyDescent="0.2"/>
    <row r="25" spans="1:19" x14ac:dyDescent="0.2">
      <c r="A25" s="190" t="s">
        <v>451</v>
      </c>
    </row>
    <row r="26" spans="1:19" ht="12" x14ac:dyDescent="0.35">
      <c r="A26" s="104"/>
    </row>
    <row r="27" spans="1:19" x14ac:dyDescent="0.2">
      <c r="A27" s="103" t="s">
        <v>452</v>
      </c>
    </row>
    <row r="28" spans="1:19" x14ac:dyDescent="0.2">
      <c r="A28" s="103" t="s">
        <v>453</v>
      </c>
    </row>
    <row r="29" spans="1:19" x14ac:dyDescent="0.2">
      <c r="A29" s="103" t="s">
        <v>252</v>
      </c>
    </row>
    <row r="30" spans="1:19" x14ac:dyDescent="0.2">
      <c r="A30" s="103" t="s">
        <v>381</v>
      </c>
    </row>
  </sheetData>
  <sheetProtection algorithmName="SHA-512" hashValue="HLWVDwQbOTxRjCalMIB7Mpa8SXYkBYFmEVYrDkp0WyL8ry0qr4tZI/12o7qbAf+utRfUcLGHmSLhcNXqFtYRHg==" saltValue="mgV0TjEyv/e0DhAy+RijpA==" spinCount="100000" sheet="1" autoFilter="0"/>
  <phoneticPr fontId="19" type="noConversion"/>
  <pageMargins left="0.75" right="0.75" top="1" bottom="0.5" header="0.5" footer="0.5"/>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 Use Stmt</vt:lpstr>
      <vt:lpstr>Info</vt:lpstr>
      <vt:lpstr>Exh A</vt:lpstr>
      <vt:lpstr>Exh B</vt:lpstr>
      <vt:lpstr>Adjustments</vt:lpstr>
      <vt:lpstr>Exh D</vt:lpstr>
      <vt:lpstr>Exh E</vt:lpstr>
      <vt:lpstr>Comments</vt:lpstr>
      <vt:lpstr>Net Assets</vt:lpstr>
      <vt:lpstr>PriorYrExhD</vt:lpstr>
      <vt:lpstr>PriorYrExhE</vt:lpstr>
      <vt:lpstr>PYExhD Data</vt:lpstr>
      <vt:lpstr>PYExhE Data</vt:lpstr>
      <vt:lpstr>EquityData</vt:lpstr>
      <vt:lpstr>EquityDataRow</vt:lpstr>
      <vt:lpstr>FASB_ADJ</vt:lpstr>
      <vt:lpstr>FASB_BS</vt:lpstr>
      <vt:lpstr>FASB_IS</vt:lpstr>
      <vt:lpstr>FCCSnum</vt:lpstr>
      <vt:lpstr>Number</vt:lpstr>
      <vt:lpstr>Adjustments!Print_Area</vt:lpstr>
      <vt:lpstr>Comments!Print_Area</vt:lpstr>
      <vt:lpstr>'Exh A'!Print_Area</vt:lpstr>
      <vt:lpstr>'Exh B'!Print_Area</vt:lpstr>
      <vt:lpstr>'Exh D'!Print_Area</vt:lpstr>
      <vt:lpstr>Info!Print_Area</vt:lpstr>
      <vt:lpstr>'Net Assets'!Print_Area</vt:lpstr>
      <vt:lpstr>Adjustments!Print_Titles</vt:lpstr>
      <vt:lpstr>'Exh A'!Print_Titles</vt:lpstr>
      <vt:lpstr>PriorYrExhD!Print_Titles</vt:lpstr>
      <vt:lpstr>PriorYrExhE!Print_Titles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cmurphy</dc:creator>
  <cp:lastModifiedBy>Colcord, Elizabeth W</cp:lastModifiedBy>
  <cp:lastPrinted>2020-04-23T17:35:31Z</cp:lastPrinted>
  <dcterms:created xsi:type="dcterms:W3CDTF">2003-04-21T14:28:15Z</dcterms:created>
  <dcterms:modified xsi:type="dcterms:W3CDTF">2022-05-12T18:16:43Z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